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<sst xmlns="http://schemas.openxmlformats.org/spreadsheetml/2006/main" count="3840" uniqueCount="3018">
  <si>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</si>
  <si>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</si>
  <si>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</si>
  <si>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</si>
  <si>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</si>
  <si>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</si>
  <si>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</si>
  <si>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</si>
  <si>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</si>
  <si>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</si>
  <si>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</si>
  <si>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</si>
  <si>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</si>
  <si>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</si>
  <si>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</si>
  <si>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</si>
  <si>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</si>
  <si>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</si>
  <si>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</si>
  <si>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</si>
  <si>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</si>
  <si>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</si>
  <si>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</si>
  <si>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</si>
  <si>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</si>
  <si>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</si>
  <si>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</si>
  <si>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</si>
  <si>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</si>
  <si>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</si>
  <si>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</si>
  <si>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</si>
  <si>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</si>
  <si>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</si>
  <si>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</si>
  <si>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</si>
  <si>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</si>
  <si>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</si>
  <si>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</si>
  <si>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</si>
  <si>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</si>
  <si>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</si>
  <si>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</si>
  <si>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</si>
  <si>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</si>
  <si>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</si>
  <si>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</si>
  <si>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</si>
  <si>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</si>
  <si>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</si>
  <si>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</si>
  <si>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</si>
  <si>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</si>
  <si>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</si>
  <si>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</si>
  <si>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</si>
  <si>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</si>
  <si>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</si>
  <si>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</si>
  <si>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</si>
  <si>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</si>
  <si>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</si>
  <si>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</si>
  <si>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</si>
  <si>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</si>
  <si>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</si>
  <si>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</si>
  <si>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</si>
  <si>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</si>
  <si>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</si>
  <si>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</si>
  <si>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</si>
  <si>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</si>
  <si>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</si>
  <si>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</si>
  <si>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</si>
  <si>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</si>
  <si>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</si>
  <si>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</si>
  <si>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</si>
  <si>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</si>
  <si>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</si>
  <si>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</si>
  <si>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</si>
  <si>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</si>
  <si>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</si>
  <si>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</si>
  <si>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</si>
  <si>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</si>
  <si>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</si>
  <si>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</si>
  <si>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</si>
  <si>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</si>
  <si>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</si>
  <si>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</si>
  <si>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</si>
  <si>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</si>
  <si>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</si>
  <si>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</si>
  <si>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</si>
  <si>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</si>
  <si>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</si>
  <si>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</si>
  <si>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</si>
  <si>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</si>
  <si>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</si>
  <si>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</si>
  <si>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</si>
  <si>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</si>
  <si>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</si>
  <si>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</si>
  <si>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</si>
  <si>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</si>
  <si>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</si>
  <si>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</si>
  <si>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</si>
  <si>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</si>
  <si>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</si>
  <si>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</si>
  <si>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</si>
  <si>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</si>
  <si>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</si>
  <si>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</si>
  <si>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</si>
  <si>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</si>
  <si>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</si>
  <si>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</si>
  <si>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</si>
  <si>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</si>
  <si>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</si>
  <si>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</si>
  <si>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</si>
  <si>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</si>
  <si>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</si>
  <si>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</si>
  <si>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</si>
  <si>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</si>
  <si>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</si>
  <si>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</si>
  <si>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</si>
  <si>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</si>
  <si>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</si>
  <si>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</si>
  <si>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</si>
  <si>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</si>
  <si>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</si>
  <si>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</si>
  <si>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</si>
  <si>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</si>
  <si>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</si>
  <si>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</si>
  <si>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</si>
  <si>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</si>
  <si>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</si>
  <si>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</si>
  <si>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</si>
  <si>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</si>
  <si>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</si>
  <si>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</si>
  <si>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</si>
  <si>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</si>
  <si>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</si>
  <si>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</si>
  <si>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</si>
  <si>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</si>
  <si>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</si>
  <si>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</si>
  <si>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</si>
  <si>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</si>
  <si>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</si>
  <si>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</si>
  <si>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</si>
  <si>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</si>
  <si>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</si>
  <si>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</si>
  <si>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</si>
  <si>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</si>
  <si>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</si>
  <si>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</si>
  <si>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</si>
  <si>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</si>
  <si>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</si>
  <si>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</si>
  <si>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</si>
  <si>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</si>
  <si>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</si>
  <si>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</si>
  <si>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</si>
  <si>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</si>
  <si>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</si>
  <si>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</si>
  <si>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</si>
  <si>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</si>
  <si>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</si>
  <si>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</si>
  <si>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</si>
  <si>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</si>
  <si>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</si>
  <si>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</si>
  <si>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</si>
  <si>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</si>
  <si>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</si>
  <si>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</si>
  <si>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</si>
  <si>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</si>
  <si>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</si>
  <si>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</si>
  <si>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</si>
  <si>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</si>
  <si>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</si>
  <si>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</si>
  <si>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</si>
  <si>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</si>
  <si>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</si>
  <si>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</si>
  <si>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</si>
  <si>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</si>
  <si>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</si>
  <si>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</si>
  <si>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</si>
  <si>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</si>
  <si>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</si>
  <si>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</si>
  <si>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</si>
  <si>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</si>
  <si>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</si>
  <si>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</si>
  <si>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</si>
  <si>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</si>
  <si>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</si>
  <si>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</si>
  <si>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</si>
  <si>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</si>
  <si>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</si>
  <si>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</si>
  <si>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</si>
  <si>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</si>
  <si>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</si>
  <si>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</si>
  <si>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</si>
  <si>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</si>
  <si>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</si>
  <si>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</si>
  <si>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</si>
  <si>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</si>
  <si>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</si>
  <si>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</si>
  <si>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</si>
  <si>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</si>
  <si>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</si>
  <si>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</si>
  <si>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</si>
  <si>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</si>
  <si>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</si>
  <si>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</si>
  <si>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</si>
  <si>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</si>
  <si>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</si>
  <si>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</si>
  <si>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</si>
  <si>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</si>
  <si>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</si>
  <si>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</si>
  <si>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</si>
  <si>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</si>
  <si>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</si>
  <si>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</si>
  <si>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</si>
  <si>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</si>
  <si>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</si>
  <si>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</si>
  <si>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</si>
  <si>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</si>
  <si>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</si>
  <si>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</si>
  <si>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</si>
  <si>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</si>
  <si>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</si>
  <si>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</si>
  <si>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</si>
  <si>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</si>
  <si>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</si>
  <si>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</si>
  <si>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</si>
  <si>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</si>
  <si>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</si>
  <si>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</si>
  <si>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</si>
  <si>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</si>
  <si>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</si>
  <si>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</si>
  <si>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</si>
  <si>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</si>
  <si>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</si>
  <si>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</si>
  <si>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</si>
  <si>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</si>
  <si>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</si>
  <si>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</si>
  <si>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</si>
  <si>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</si>
  <si>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</si>
  <si>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</si>
  <si>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</si>
  <si>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</si>
  <si>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</si>
  <si>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</si>
  <si>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</si>
  <si>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</si>
  <si>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</si>
  <si>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</si>
  <si>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</si>
  <si>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</si>
  <si>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</si>
  <si>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</si>
  <si>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</si>
  <si>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</si>
  <si>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</si>
  <si>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</si>
  <si>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</si>
  <si>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</si>
  <si>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</si>
  <si>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</si>
  <si>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</si>
  <si>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</si>
  <si>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</si>
  <si>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</si>
  <si>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</si>
  <si>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</si>
  <si>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</si>
  <si>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</si>
  <si>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</si>
  <si>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</si>
  <si>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</si>
  <si>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</si>
  <si>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</si>
  <si>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</si>
  <si>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</si>
  <si>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</si>
  <si>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</si>
  <si>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</si>
  <si>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</si>
  <si>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</si>
  <si>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</si>
  <si>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</si>
  <si>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</si>
  <si>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</si>
  <si>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</si>
  <si>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</si>
  <si>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</si>
  <si>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</si>
  <si>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</si>
  <si>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</si>
  <si>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</si>
  <si>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</si>
  <si>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</si>
  <si>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</si>
  <si>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</si>
  <si>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</si>
  <si>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</si>
  <si>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</si>
  <si>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</si>
  <si>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</si>
  <si>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</si>
  <si>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</si>
  <si>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</si>
  <si>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</si>
  <si>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</si>
  <si>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</si>
  <si>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</si>
  <si>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</si>
  <si>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</si>
  <si>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</si>
  <si>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</si>
  <si>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</si>
  <si>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</si>
  <si>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</si>
  <si>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</si>
  <si>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</si>
  <si>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</si>
  <si>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</si>
  <si>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</si>
  <si>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</si>
  <si>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</si>
  <si>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</si>
  <si>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</si>
  <si>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</si>
  <si>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</si>
  <si>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</si>
  <si>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</si>
  <si>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</si>
  <si>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</si>
  <si>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</si>
  <si>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</si>
  <si>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</si>
  <si>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</si>
  <si>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</si>
  <si>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</si>
  <si>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</si>
  <si>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</si>
  <si>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</si>
  <si>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</si>
  <si>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</si>
  <si>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</si>
  <si>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</si>
  <si>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</si>
  <si>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</si>
  <si>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</si>
  <si>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</si>
  <si>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</si>
  <si>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</si>
  <si>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</si>
  <si>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</si>
  <si>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</si>
  <si>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</si>
  <si>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</si>
  <si>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</si>
  <si>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</si>
  <si>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</si>
  <si>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</si>
  <si>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</si>
  <si>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</si>
  <si>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</si>
  <si>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</si>
  <si>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</si>
  <si>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</si>
  <si>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</si>
  <si>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</si>
  <si>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</si>
  <si>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</si>
  <si>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</si>
  <si>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</si>
  <si>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</si>
  <si>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</si>
  <si>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</si>
  <si>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</si>
  <si>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</si>
  <si>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</si>
  <si>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</si>
  <si>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</si>
  <si>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</si>
  <si>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</si>
  <si>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</si>
  <si>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</si>
  <si>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</si>
  <si>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</si>
  <si>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</si>
  <si>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</si>
  <si>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</si>
  <si>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</si>
  <si>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</si>
  <si>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</si>
  <si>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</si>
  <si>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</si>
  <si>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</si>
  <si>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</si>
  <si>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</si>
  <si>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</si>
  <si>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</si>
  <si>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</si>
  <si>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</si>
  <si>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</si>
  <si>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</si>
  <si>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</si>
  <si>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</si>
  <si>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</si>
  <si>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</si>
  <si>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</si>
  <si>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</si>
  <si>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</si>
  <si>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</si>
  <si>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</si>
  <si>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</si>
  <si>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</si>
  <si>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</si>
  <si>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</si>
  <si>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</si>
  <si>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</si>
  <si>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</si>
  <si>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</si>
  <si>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</si>
  <si>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</si>
  <si>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</si>
  <si>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</si>
  <si>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</si>
  <si>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</si>
  <si>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</si>
  <si>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</si>
  <si>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</si>
  <si>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</si>
  <si>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</si>
  <si>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</si>
  <si>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</si>
  <si>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</si>
  <si>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</si>
  <si>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</si>
  <si>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</si>
  <si>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</si>
  <si>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</si>
  <si>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</si>
  <si>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</si>
  <si>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</si>
  <si>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</si>
  <si>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</si>
  <si>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</si>
  <si>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</si>
  <si>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</si>
  <si>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</si>
  <si>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</si>
  <si>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</si>
  <si>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</si>
  <si>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</si>
  <si>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</si>
  <si>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</si>
  <si>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</si>
  <si>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</si>
  <si>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</si>
  <si>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</si>
  <si>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</si>
  <si>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</si>
  <si>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</si>
  <si>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</si>
  <si>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</si>
  <si>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</si>
  <si>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</si>
  <si>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</si>
  <si>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</si>
  <si>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</si>
  <si>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</si>
  <si>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</si>
  <si>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</si>
  <si>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</si>
  <si>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</si>
  <si>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</si>
  <si>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</si>
  <si>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</si>
  <si>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</si>
  <si>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</si>
  <si>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</si>
  <si>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</si>
  <si>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</si>
  <si>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</si>
  <si>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</si>
  <si>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</si>
  <si>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</si>
  <si>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</si>
  <si>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</si>
  <si>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</si>
  <si>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</si>
  <si>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</si>
  <si>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</si>
  <si>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</si>
  <si>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</si>
  <si>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</si>
  <si>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</si>
  <si>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</si>
  <si>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</si>
  <si>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</si>
  <si>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</si>
  <si>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</si>
  <si>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</si>
  <si>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</si>
  <si>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</si>
  <si>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</si>
  <si>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</si>
  <si>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</si>
  <si>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</si>
  <si>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</si>
  <si>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</si>
  <si>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</si>
  <si>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</si>
  <si>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</si>
  <si>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</si>
  <si>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</si>
  <si>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</si>
  <si>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</si>
  <si>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</si>
  <si>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</si>
  <si>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</si>
  <si>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</si>
  <si>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</si>
  <si>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</si>
  <si>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</si>
  <si>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</si>
  <si>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</si>
  <si>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</si>
  <si>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</si>
  <si>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</si>
  <si>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</si>
  <si>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</si>
  <si>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</si>
  <si>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</si>
  <si>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</si>
  <si>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</si>
  <si>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</si>
  <si>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</si>
  <si>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</si>
  <si>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</si>
  <si>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</si>
  <si>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</si>
  <si>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</si>
  <si>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</si>
  <si>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</si>
  <si>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</si>
  <si>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</si>
  <si>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</si>
  <si>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</si>
  <si>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</si>
  <si>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</si>
  <si>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</si>
  <si>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</si>
  <si>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</si>
  <si>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</si>
  <si>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</si>
  <si>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</si>
  <si>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</si>
  <si>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</si>
  <si>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</si>
  <si>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</si>
  <si>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</si>
  <si>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</si>
  <si>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</si>
  <si>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</si>
  <si>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</si>
  <si>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</si>
  <si>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</si>
  <si>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</si>
  <si>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</si>
  <si>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</si>
  <si>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</si>
  <si>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</si>
  <si>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</si>
  <si>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</si>
  <si>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</si>
  <si>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</si>
  <si>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</si>
  <si>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</si>
  <si>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</si>
  <si>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</si>
  <si>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</si>
  <si>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</si>
  <si>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</si>
  <si>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</si>
  <si>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</si>
  <si>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</si>
  <si>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</si>
  <si>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</si>
  <si>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</si>
  <si>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</si>
  <si>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</si>
  <si>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</si>
  <si>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</si>
  <si>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</si>
  <si>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</si>
  <si>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</si>
  <si>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</si>
  <si>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</si>
  <si>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</si>
  <si>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</si>
  <si>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</si>
  <si>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</si>
  <si>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</si>
  <si>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</si>
  <si>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</si>
  <si>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</si>
  <si>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</si>
  <si>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</si>
  <si>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</si>
  <si>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</si>
  <si>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</si>
  <si>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</si>
  <si>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</si>
  <si>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</si>
  <si>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</si>
  <si>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</si>
  <si>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</si>
  <si>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</si>
  <si>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</si>
  <si>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</si>
  <si>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</si>
  <si>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</si>
  <si>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</si>
  <si>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</si>
  <si>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</si>
  <si>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</si>
  <si>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</si>
  <si>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</si>
  <si>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</si>
  <si>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</si>
  <si>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</si>
  <si>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</si>
  <si>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</si>
  <si>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</si>
  <si>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</si>
  <si>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</si>
  <si>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</si>
  <si>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</si>
  <si>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</si>
  <si>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</si>
  <si>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</si>
  <si>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</si>
  <si>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</si>
  <si>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</si>
  <si>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</si>
  <si>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</si>
  <si>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</si>
  <si>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</si>
  <si>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</si>
  <si>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</si>
  <si>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</si>
  <si>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</si>
  <si>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</si>
  <si>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</si>
  <si>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</si>
  <si>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</si>
  <si>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</si>
  <si>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</si>
  <si>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</si>
  <si>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</si>
  <si>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</si>
  <si>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</si>
  <si>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</si>
  <si>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</si>
  <si>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</si>
  <si>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</si>
  <si>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</si>
  <si>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</si>
  <si>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</si>
  <si>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</si>
  <si>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</si>
  <si>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</si>
  <si>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</si>
  <si>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</si>
  <si>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</si>
  <si>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</si>
  <si>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</si>
  <si>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</si>
  <si>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</si>
  <si>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</si>
  <si>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</si>
  <si>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</si>
  <si>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</si>
  <si>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</si>
  <si>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</si>
  <si>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</si>
  <si>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</si>
  <si>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</si>
  <si>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</si>
  <si>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</si>
  <si>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</si>
  <si>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</si>
  <si>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</si>
  <si>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</si>
  <si>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</si>
  <si>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</si>
  <si>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</si>
  <si>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</si>
  <si>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</si>
  <si>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</si>
  <si>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</si>
  <si>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</si>
  <si>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</si>
  <si>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</si>
  <si>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</si>
  <si>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</si>
  <si>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</si>
  <si>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</si>
  <si>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</si>
  <si>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</si>
  <si>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</si>
  <si>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</si>
  <si>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</si>
  <si>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</si>
  <si>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</si>
  <si>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</si>
  <si>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</si>
  <si>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</si>
  <si>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</si>
  <si>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</si>
  <si>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</si>
  <si>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</si>
  <si>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</si>
  <si>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</si>
  <si>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</si>
  <si>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</si>
  <si>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</si>
  <si>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</si>
  <si>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</si>
  <si>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</si>
  <si>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</si>
  <si>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</si>
  <si>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</si>
  <si>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</si>
  <si>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</si>
  <si>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</si>
  <si>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</si>
  <si>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</si>
  <si>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</si>
  <si>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</si>
  <si>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</si>
  <si>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</si>
  <si>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</si>
  <si>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</si>
  <si>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</si>
  <si>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</si>
  <si>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</si>
  <si>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</si>
  <si>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</si>
  <si>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</si>
  <si>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</si>
  <si>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</si>
  <si>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</si>
  <si>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</si>
  <si>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</si>
  <si>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</si>
  <si>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</si>
  <si>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</si>
  <si>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</si>
  <si>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</si>
  <si>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</si>
  <si>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</si>
  <si>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</si>
  <si>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</si>
  <si>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</si>
  <si>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</si>
  <si>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</si>
  <si>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</si>
  <si>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</si>
  <si>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</si>
  <si>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</si>
  <si>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</si>
  <si>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</si>
  <si>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</si>
  <si>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</si>
  <si>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</si>
  <si>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</si>
  <si>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</si>
  <si>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</si>
  <si>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</si>
  <si>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</si>
  <si>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</si>
  <si>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</si>
  <si>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</si>
  <si>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</si>
  <si>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</si>
  <si>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</si>
  <si>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</si>
  <si>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</si>
  <si>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</si>
  <si>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</si>
  <si>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</si>
  <si>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</si>
  <si>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</si>
  <si>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</si>
  <si>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</si>
  <si>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</si>
  <si>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</si>
  <si>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</si>
  <si>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</si>
  <si>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</si>
  <si>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</si>
  <si>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</si>
  <si>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</si>
  <si>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</si>
  <si>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</si>
  <si>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</si>
  <si>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</si>
  <si>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</si>
  <si>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</si>
  <si>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</si>
  <si>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</si>
  <si>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</si>
  <si>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</si>
  <si>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</si>
  <si>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</si>
  <si>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</si>
  <si>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</si>
  <si>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</si>
  <si>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</si>
  <si>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</si>
  <si>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</si>
  <si>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</si>
  <si>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</si>
  <si>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</si>
  <si>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</si>
  <si>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</si>
  <si>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</si>
  <si>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</si>
  <si>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</si>
  <si>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</si>
  <si>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</si>
  <si>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</si>
  <si>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</si>
  <si>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</si>
  <si>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</si>
  <si>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</si>
  <si>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</si>
  <si>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</si>
  <si>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</si>
  <si>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</si>
  <si>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</si>
  <si>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</si>
  <si>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</si>
  <si>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</si>
  <si>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</si>
  <si>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</si>
  <si>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</si>
  <si>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</si>
  <si>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</si>
  <si>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</si>
  <si>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</si>
  <si>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</si>
  <si>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</si>
  <si>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</si>
  <si>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</si>
  <si>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</si>
  <si>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</si>
  <si>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</si>
  <si>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</si>
  <si>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</si>
  <si>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</si>
  <si>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</si>
  <si>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</si>
  <si>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</si>
  <si>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</si>
  <si>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</si>
  <si>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</si>
  <si>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</si>
  <si>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</si>
  <si>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</si>
  <si>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</si>
  <si>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</si>
  <si>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</si>
  <si>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</si>
  <si>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</si>
  <si>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</si>
  <si>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</si>
  <si>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</si>
  <si>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</si>
  <si>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</si>
  <si>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</si>
  <si>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</si>
  <si>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</si>
  <si>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</si>
  <si>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</si>
  <si>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</si>
  <si>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</si>
  <si>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</si>
  <si>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</si>
  <si>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</si>
  <si>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</si>
  <si>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</si>
  <si>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</si>
  <si>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</si>
  <si>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</si>
  <si>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</si>
  <si>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</si>
  <si>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</si>
  <si>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</si>
  <si>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</si>
  <si>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</si>
  <si>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</si>
  <si>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</si>
  <si>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</si>
  <si>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</si>
  <si>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</si>
  <si>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</si>
  <si>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</si>
  <si>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</si>
  <si>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</si>
  <si>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</si>
  <si>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</si>
  <si>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</si>
  <si>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</si>
  <si>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</si>
  <si>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</si>
  <si>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</si>
  <si>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</si>
  <si>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</si>
  <si>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</si>
  <si>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</si>
  <si>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</si>
  <si>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</si>
  <si>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</si>
  <si>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</si>
  <si>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</si>
  <si>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</si>
  <si>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</si>
  <si>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</si>
  <si>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</si>
  <si>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</si>
  <si>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</si>
  <si>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</si>
  <si>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</si>
  <si>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</si>
  <si>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</si>
  <si>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</si>
  <si>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</si>
  <si>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</si>
  <si>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</si>
  <si>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</si>
  <si>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</si>
  <si>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</si>
  <si>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</si>
  <si>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</si>
  <si>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</si>
  <si>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</si>
  <si>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</si>
  <si>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</si>
  <si>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</si>
  <si>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</si>
  <si>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</si>
  <si>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</si>
  <si>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</si>
  <si>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</si>
  <si>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</si>
  <si>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</si>
  <si>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</si>
  <si>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</si>
  <si>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</si>
  <si>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</si>
  <si>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</si>
  <si>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</si>
  <si>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</si>
  <si>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</si>
  <si>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</si>
  <si>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</si>
  <si>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</si>
  <si>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</si>
  <si>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</si>
  <si>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</si>
  <si>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</si>
  <si>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</si>
  <si>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</si>
  <si>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</si>
  <si>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</si>
  <si>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</si>
  <si>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</si>
  <si>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</si>
  <si>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</si>
  <si>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</si>
  <si>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</si>
  <si>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</si>
  <si>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</si>
  <si>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</si>
  <si>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</si>
  <si>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</si>
  <si>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</si>
  <si>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</si>
  <si>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</si>
  <si>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</si>
  <si>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</si>
  <si>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</si>
  <si>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</si>
  <si>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</si>
  <si>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</si>
  <si>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</si>
  <si>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</si>
  <si>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</si>
  <si>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</si>
  <si>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</si>
  <si>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</si>
  <si>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</si>
  <si>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</si>
  <si>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</si>
  <si>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</si>
  <si>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</si>
  <si>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</si>
  <si>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</si>
  <si>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</si>
  <si>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</si>
  <si>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</si>
  <si>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</si>
  <si>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</si>
  <si>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</si>
  <si>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</si>
  <si>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</si>
  <si>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</si>
  <si>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</si>
  <si>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</si>
  <si>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</si>
  <si>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</si>
  <si>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</si>
  <si>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</si>
  <si>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</si>
  <si>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</si>
  <si>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</si>
  <si>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</si>
  <si>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</si>
  <si>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</si>
  <si>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</si>
  <si>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</si>
  <si>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</si>
  <si>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</si>
  <si>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</si>
  <si>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</si>
  <si>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</si>
  <si>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</si>
  <si>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</si>
  <si>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</si>
  <si>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</si>
  <si>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</si>
  <si>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</si>
  <si>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</si>
  <si>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</si>
  <si>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</si>
  <si>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</si>
  <si>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</si>
  <si>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</si>
  <si>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</si>
  <si>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</si>
  <si>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</si>
  <si>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</si>
  <si>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</si>
  <si>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</si>
  <si>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</si>
  <si>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</si>
  <si>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</si>
  <si>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</si>
  <si>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</si>
  <si>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</si>
  <si>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</si>
  <si>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</si>
  <si>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</si>
  <si>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</si>
  <si>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</si>
  <si>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</si>
  <si>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</si>
  <si>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</si>
  <si>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</si>
  <si>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</si>
  <si>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</si>
  <si>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</si>
  <si>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</si>
  <si>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</si>
  <si>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</si>
  <si>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</si>
  <si>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</si>
  <si>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</si>
  <si>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</si>
  <si>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</si>
  <si>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</si>
  <si>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</si>
  <si>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</si>
  <si>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</si>
  <si>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</si>
  <si>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</si>
  <si>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</si>
  <si>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</si>
  <si>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</si>
  <si>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</si>
  <si>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</si>
  <si>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</si>
  <si>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</si>
  <si>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</si>
  <si>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</si>
  <si>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</si>
  <si>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</si>
  <si>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</si>
  <si>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</si>
  <si>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</si>
  <si>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</si>
  <si>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</si>
  <si>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</si>
  <si>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</si>
  <si>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</si>
  <si>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</si>
  <si>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</si>
  <si>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</si>
  <si>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</si>
  <si>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</si>
  <si>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</si>
  <si>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</si>
  <si>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</si>
  <si>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</si>
  <si>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</si>
  <si>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</si>
  <si>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</si>
  <si>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</si>
  <si>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</si>
  <si>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</si>
  <si>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</si>
  <si>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</si>
  <si>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</si>
  <si>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</si>
  <si>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</si>
  <si>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</si>
  <si>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</si>
  <si>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</si>
  <si>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</si>
  <si>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</si>
  <si>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</si>
  <si>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</si>
  <si>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</si>
  <si>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</si>
  <si>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</si>
  <si>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</si>
  <si>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</si>
  <si>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</si>
  <si>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</si>
  <si>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</si>
  <si>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</si>
  <si>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</si>
  <si>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</si>
  <si>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</si>
  <si>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</si>
  <si>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</si>
  <si>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</si>
  <si>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</si>
  <si>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</si>
  <si>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</si>
  <si>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</si>
  <si>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</si>
  <si>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</si>
  <si>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</si>
  <si>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</si>
  <si>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</si>
  <si>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</si>
  <si>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</si>
  <si>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</si>
  <si>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</si>
  <si>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</si>
  <si>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</si>
  <si>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</si>
  <si>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</si>
  <si>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</si>
  <si>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</si>
  <si>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</si>
  <si>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</si>
  <si>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</si>
  <si>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</si>
  <si>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</si>
  <si>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</si>
  <si>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</si>
  <si>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</si>
  <si>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</si>
  <si>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</si>
  <si>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</si>
  <si>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</si>
  <si>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</si>
  <si>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</si>
  <si>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</si>
  <si>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</si>
  <si>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</si>
  <si>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</si>
  <si>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</si>
  <si>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</si>
  <si>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</si>
  <si>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</si>
  <si>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</si>
  <si>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</si>
  <si>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</si>
  <si>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</si>
  <si>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</si>
  <si>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</si>
  <si>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</si>
  <si>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</si>
  <si>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</si>
  <si>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</si>
  <si>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</si>
  <si>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</si>
  <si>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</si>
  <si>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</si>
  <si>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</si>
  <si>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</si>
  <si>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</si>
  <si>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</si>
  <si>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</si>
  <si>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</si>
  <si>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</si>
  <si>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</si>
  <si>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</si>
  <si>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</si>
  <si>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</si>
  <si>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</si>
  <si>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</si>
  <si>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</si>
  <si>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</si>
  <si>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</si>
  <si>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</si>
  <si>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</si>
  <si>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</si>
  <si>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</si>
  <si>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</si>
  <si>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</si>
  <si>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</si>
  <si>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</si>
  <si>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</si>
  <si>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</si>
  <si>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</si>
  <si>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</si>
  <si>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</si>
  <si>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</si>
  <si>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</si>
  <si>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</si>
  <si>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</si>
  <si>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</si>
  <si>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</si>
  <si>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</si>
  <si>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</si>
  <si>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</si>
  <si>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</si>
  <si>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</si>
  <si>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</si>
  <si>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</si>
  <si>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</si>
  <si>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</si>
  <si>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</si>
  <si>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</si>
  <si>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</si>
  <si>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</si>
  <si>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</si>
  <si>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</si>
  <si>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</si>
  <si>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</si>
  <si>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</si>
  <si>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</si>
  <si>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</si>
  <si>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</si>
  <si>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</si>
  <si>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</si>
  <si>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</si>
  <si>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</si>
  <si>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</si>
  <si>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</si>
  <si>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</si>
  <si>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</si>
  <si>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</si>
  <si>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</si>
  <si>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</si>
  <si>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</si>
  <si>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</si>
  <si>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</si>
  <si>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</si>
  <si>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</si>
  <si>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</si>
  <si>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</si>
  <si>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</si>
  <si>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</si>
  <si>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</si>
  <si>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</si>
  <si>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</si>
  <si>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</si>
  <si>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</si>
  <si>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</si>
  <si>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</si>
  <si>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</si>
  <si>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</si>
  <si>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</si>
  <si>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</si>
  <si>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</si>
  <si>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</si>
  <si>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</si>
  <si>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</si>
  <si>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</si>
  <si>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</si>
  <si>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</si>
  <si>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</si>
  <si>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</si>
  <si>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</si>
  <si>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</si>
  <si>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</si>
  <si>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</si>
  <si>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</si>
  <si>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</si>
  <si>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</si>
  <si>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</si>
  <si>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</si>
  <si>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</si>
  <si>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</si>
  <si>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</si>
  <si>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</si>
  <si>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</si>
  <si>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</si>
  <si>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</si>
  <si>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</si>
  <si>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</si>
  <si>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</si>
  <si>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</si>
  <si>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</si>
  <si>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</si>
  <si>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</si>
  <si>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</si>
  <si>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</si>
  <si>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</si>
  <si>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</si>
  <si>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</si>
  <si>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</si>
  <si>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</si>
  <si>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</si>
  <si>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</si>
  <si>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</si>
  <si>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</si>
  <si>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</si>
  <si>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</si>
  <si>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</si>
  <si>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</si>
  <si>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</si>
  <si>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</si>
  <si>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</si>
  <si>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</si>
  <si>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</si>
  <si>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</si>
  <si>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</si>
  <si>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</si>
  <si>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</si>
  <si>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</si>
  <si>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</si>
  <si>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</si>
  <si>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</si>
  <si>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</si>
  <si>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</si>
  <si>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</si>
  <si>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</si>
  <si>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</si>
  <si>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</si>
  <si>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</si>
  <si>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</si>
  <si>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</si>
  <si>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</si>
  <si>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</si>
  <si>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</si>
  <si>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</si>
  <si>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</si>
  <si>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</si>
  <si>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</si>
  <si>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</si>
  <si>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</si>
  <si>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</si>
  <si>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</si>
  <si>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</si>
  <si>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</si>
  <si>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</si>
  <si>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</si>
  <si>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</si>
  <si>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</si>
  <si>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</si>
  <si>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</si>
  <si>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</si>
  <si>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</si>
  <si>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</si>
  <si>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</si>
  <si>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</si>
  <si>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</si>
  <si>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</si>
  <si>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</si>
  <si>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</si>
  <si>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</si>
  <si>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</si>
  <si>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</si>
  <si>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</si>
  <si>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</si>
  <si>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</si>
  <si>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</si>
  <si>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</si>
  <si>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</si>
  <si>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</si>
  <si>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</si>
  <si>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</si>
  <si>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</si>
  <si>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</si>
  <si>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</si>
  <si>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</si>
  <si>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</si>
  <si>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</si>
  <si>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</si>
  <si>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</si>
  <si>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</si>
  <si>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</si>
  <si>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</si>
  <si>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</si>
  <si>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</si>
  <si>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</si>
  <si>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</si>
  <si>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</si>
  <si>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</si>
  <si>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</si>
  <si>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</si>
  <si>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</si>
  <si>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</si>
  <si>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</si>
  <si>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</si>
  <si>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</si>
  <si>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</si>
  <si>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</si>
  <si>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</si>
  <si>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</si>
  <si>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</si>
  <si>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</si>
  <si>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</si>
  <si>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</si>
  <si>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</si>
  <si>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</si>
  <si>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</si>
  <si>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</si>
  <si>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</si>
  <si>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</si>
  <si>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</si>
  <si>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</si>
  <si>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</si>
  <si>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</si>
  <si>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</si>
  <si>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</si>
  <si>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</si>
  <si>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</si>
  <si>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</si>
  <si>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</si>
  <si>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</si>
  <si>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</si>
  <si>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</si>
  <si>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</si>
  <si>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</si>
  <si>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</si>
  <si>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</si>
  <si>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</si>
  <si>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</si>
  <si>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</si>
  <si>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</si>
  <si>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</si>
  <si>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</si>
  <si>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</si>
  <si>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</si>
  <si>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</si>
  <si>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</si>
  <si>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</si>
  <si>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</si>
  <si>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</si>
  <si>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</si>
  <si>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</si>
  <si>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</si>
  <si>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</si>
  <si>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</si>
  <si>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</si>
  <si>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</si>
  <si>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</si>
  <si>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</si>
  <si>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</si>
  <si>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</si>
  <si>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</si>
  <si>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</si>
  <si>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</si>
  <si>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</si>
  <si>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</si>
  <si>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</si>
  <si>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</si>
  <si>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</si>
  <si>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</si>
  <si>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</si>
  <si>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</si>
  <si>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</si>
  <si>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</si>
  <si>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</si>
  <si>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</si>
  <si>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</si>
  <si>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</si>
  <si>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</si>
  <si>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</si>
  <si>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</si>
  <si>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</si>
  <si>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</si>
  <si>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</si>
  <si>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</si>
  <si>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</si>
  <si>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</si>
  <si>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</si>
  <si>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</si>
  <si>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</si>
  <si>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</si>
  <si>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</si>
  <si>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</si>
  <si>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</si>
  <si>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</si>
  <si>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</si>
  <si>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</si>
  <si>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</si>
  <si>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</si>
  <si>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</si>
  <si>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</si>
  <si>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</si>
  <si>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</si>
  <si>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</si>
  <si>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</si>
  <si>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</si>
  <si>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</si>
  <si>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</si>
  <si>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</si>
  <si>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</si>
  <si>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</si>
  <si>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</si>
  <si>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</si>
  <si>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</si>
  <si>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</si>
  <si>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</si>
  <si>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</si>
  <si>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</si>
  <si>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</si>
  <si>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</si>
  <si>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</si>
  <si>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</si>
  <si>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</si>
  <si>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</si>
  <si>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</si>
  <si>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</si>
  <si>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</si>
  <si>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</si>
  <si>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</si>
  <si>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</si>
  <si>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</si>
  <si>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</si>
  <si>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</si>
  <si>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</si>
  <si>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</si>
  <si>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</si>
  <si>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</si>
  <si>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</si>
  <si>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</si>
  <si>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</si>
  <si>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</si>
  <si>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</si>
  <si>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</si>
  <si>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</si>
  <si>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</si>
  <si>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</si>
  <si>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</si>
  <si>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</si>
  <si>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</si>
  <si>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</si>
  <si>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</si>
  <si>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</si>
  <si>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</si>
  <si>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</si>
  <si>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</si>
  <si>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</si>
  <si>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</si>
  <si>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</si>
  <si>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</si>
  <si>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</si>
  <si>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</si>
  <si>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</si>
  <si>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</si>
  <si>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</si>
  <si>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</si>
  <si>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</si>
  <si>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</si>
  <si>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</si>
  <si>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</si>
  <si>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</si>
  <si>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</si>
  <si>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</si>
  <si>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</si>
  <si>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</si>
  <si>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</si>
  <si>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</si>
  <si>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</si>
  <si>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</si>
  <si>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</si>
  <si>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</si>
  <si>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</si>
  <si>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</si>
  <si>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</si>
  <si>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</si>
  <si>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</si>
  <si>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</si>
  <si>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</si>
  <si>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</si>
  <si>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</si>
  <si>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</si>
  <si>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</si>
  <si>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</si>
  <si>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</si>
  <si>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</si>
  <si>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</si>
  <si>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</si>
  <si>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</si>
  <si>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</si>
  <si>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</si>
  <si>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</si>
  <si>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</si>
  <si>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</si>
  <si>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</si>
  <si>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</si>
  <si>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</si>
  <si>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</si>
  <si>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</si>
  <si>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</si>
  <si>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</si>
  <si>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</si>
  <si>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</si>
  <si>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</si>
  <si>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</si>
  <si>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</si>
  <si>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</si>
  <si>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</si>
  <si>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</si>
  <si>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</si>
  <si>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</si>
  <si>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</si>
  <si>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</si>
  <si>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</si>
  <si>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</si>
  <si>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</si>
  <si>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</si>
  <si>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</si>
  <si>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</si>
  <si>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</si>
  <si>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</si>
  <si>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</si>
  <si>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</si>
  <si>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</si>
  <si>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</si>
  <si>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</si>
  <si>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</si>
  <si>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</si>
  <si>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</si>
  <si>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</si>
  <si>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</si>
  <si>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</si>
  <si>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</si>
  <si>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</si>
  <si>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</si>
  <si>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</si>
  <si>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</si>
  <si>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</si>
  <si>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</si>
  <si>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</si>
  <si>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</si>
  <si>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</si>
  <si>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</si>
  <si>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</si>
  <si>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</si>
  <si>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</si>
  <si>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</si>
  <si>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</si>
  <si>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</si>
  <si>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</si>
  <si>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</si>
  <si>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</si>
  <si>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</si>
  <si>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</si>
  <si>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</si>
  <si>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</si>
  <si>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</si>
  <si>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</si>
  <si>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</si>
  <si>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</si>
  <si>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</si>
  <si>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</si>
  <si>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</si>
  <si>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</si>
  <si>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</si>
  <si>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</si>
  <si>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</si>
  <si>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</si>
  <si>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</si>
  <si>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</si>
  <si>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</si>
  <si>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</si>
  <si>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</si>
  <si>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</si>
  <si>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</si>
  <si>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</si>
  <si>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</si>
  <si>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</si>
  <si>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</si>
  <si>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</si>
  <si>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</si>
  <si>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</si>
  <si>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</si>
  <si>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</si>
  <si>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</si>
  <si>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</si>
  <si>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</si>
  <si>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</si>
  <si>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</si>
  <si>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</si>
  <si>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</si>
  <si>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</si>
  <si>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</si>
  <si>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</si>
  <si>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</si>
  <si>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</si>
  <si>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</si>
  <si>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</si>
  <si>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</si>
  <si>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</si>
  <si>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</si>
  <si>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</si>
  <si>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</si>
  <si>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</si>
  <si>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</si>
  <si>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</si>
  <si>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</si>
  <si>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</si>
  <si>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</si>
  <si>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</si>
  <si>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</si>
  <si>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</si>
  <si>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</si>
  <si>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</si>
  <si>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</si>
  <si>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</si>
  <si>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</si>
  <si>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</si>
  <si>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</si>
  <si>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</si>
  <si>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</si>
  <si>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</si>
  <si>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</si>
  <si>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</si>
  <si>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</si>
  <si>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</si>
  <si>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</si>
  <si>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</si>
  <si>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</si>
  <si>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</si>
  <si>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</si>
  <si>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</si>
  <si>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</si>
  <si>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</si>
  <si>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</si>
  <si>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</si>
  <si>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</si>
  <si>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</si>
  <si>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</si>
  <si>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</si>
  <si>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</si>
  <si>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</si>
  <si>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</si>
  <si>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</si>
  <si>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</si>
  <si>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</si>
  <si>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</si>
  <si>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</si>
  <si>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</si>
  <si>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</si>
  <si>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</si>
  <si>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</si>
  <si>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</si>
  <si>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</si>
  <si>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</si>
  <si>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</si>
  <si>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</si>
  <si>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</si>
  <si>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</si>
  <si>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</si>
  <si>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</si>
  <si>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</si>
  <si>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</si>
  <si>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</si>
  <si>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</si>
  <si>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</si>
  <si>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</si>
  <si>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</si>
  <si>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</si>
  <si>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</si>
  <si>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</si>
  <si>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</si>
  <si>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</si>
  <si>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</si>
  <si>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</si>
  <si>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</si>
  <si>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</si>
  <si>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</si>
  <si>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</si>
  <si>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</si>
  <si>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</si>
  <si>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</si>
  <si>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</si>
  <si>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</si>
  <si>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</si>
  <si>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</si>
  <si>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</si>
  <si>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</si>
  <si>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</si>
  <si>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</si>
  <si>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</si>
  <si>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</si>
  <si>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</si>
  <si>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</si>
  <si>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</si>
  <si>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</si>
  <si>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</si>
  <si>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</si>
  <si>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</si>
  <si>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</si>
  <si>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</si>
  <si>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</si>
  <si>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</si>
  <si>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</si>
  <si>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</si>
  <si>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</si>
  <si>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</si>
  <si>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</si>
  <si>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</si>
  <si>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</si>
  <si>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</si>
  <si>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</si>
  <si>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</si>
  <si>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</si>
  <si>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</si>
  <si>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</si>
  <si>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</si>
  <si>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</si>
  <si>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</si>
  <si>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</si>
  <si>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</si>
  <si>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</si>
  <si>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</si>
  <si>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</si>
  <si>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</si>
  <si>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</si>
  <si>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</si>
  <si>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</si>
  <si>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</si>
  <si>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</si>
  <si>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</si>
  <si>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</si>
  <si>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</si>
  <si>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</si>
  <si>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</si>
  <si>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</si>
  <si>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</si>
  <si>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</si>
  <si>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</si>
  <si>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</si>
  <si>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</si>
  <si>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</si>
  <si>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</si>
  <si>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</si>
  <si>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</si>
  <si>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</si>
  <si>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</si>
  <si>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</si>
  <si>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</si>
  <si>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</si>
  <si>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</si>
  <si>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</si>
  <si>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</si>
  <si>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</si>
  <si>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</si>
  <si>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</si>
  <si>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</si>
  <si>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</si>
  <si>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</si>
  <si>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</si>
  <si>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</si>
  <si>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</si>
  <si>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</si>
  <si>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</si>
  <si>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</si>
  <si>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</si>
  <si>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</si>
  <si>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</si>
  <si>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</si>
  <si>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</si>
  <si>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</si>
  <si>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</si>
  <si>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</si>
  <si>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</si>
  <si>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</si>
  <si>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</si>
  <si>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</si>
  <si>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</si>
  <si>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</si>
  <si>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</si>
  <si>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</si>
  <si>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</si>
  <si>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</si>
  <si>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</si>
  <si>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</si>
  <si>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</si>
  <si>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</si>
  <si>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</si>
  <si>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</si>
  <si>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</si>
  <si>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</si>
  <si>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</si>
  <si>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</si>
  <si>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</si>
  <si>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</si>
  <si>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</si>
  <si>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</si>
  <si>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</si>
  <si>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</si>
  <si>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</si>
  <si>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</si>
  <si>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</si>
  <si>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</si>
  <si>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</si>
  <si>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</si>
  <si>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</si>
  <si>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</si>
  <si>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</si>
  <si>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</si>
  <si>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</si>
  <si>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</si>
  <si>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</si>
  <si>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</si>
  <si>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</si>
  <si>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</si>
  <si>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</si>
  <si>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</si>
  <si>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</si>
  <si>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</si>
  <si>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</si>
  <si>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</si>
  <si>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</si>
  <si>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</si>
  <si>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</si>
  <si>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</si>
  <si>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</si>
  <si>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</si>
  <si>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</si>
  <si>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</si>
  <si>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</si>
  <si>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</si>
  <si>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</si>
  <si>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</si>
  <si>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</si>
  <si>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</si>
  <si>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</si>
  <si>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</si>
  <si>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</si>
  <si>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</si>
  <si>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</si>
  <si>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</si>
  <si>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</si>
  <si>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</si>
  <si>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</si>
  <si>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</si>
  <si>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</si>
  <si>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</si>
  <si>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</si>
  <si>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</si>
  <si>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</si>
  <si>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</si>
  <si>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</si>
  <si>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</si>
  <si>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</si>
  <si>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</si>
  <si>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</si>
  <si>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</si>
  <si>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</si>
  <si>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</si>
  <si>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</si>
  <si>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</si>
  <si>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</si>
  <si>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</si>
  <si>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</si>
  <si>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</si>
  <si>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</si>
  <si>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</si>
  <si>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</si>
  <si>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</si>
  <si>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</si>
  <si>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</si>
  <si>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</si>
  <si>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</si>
  <si>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</si>
  <si>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</si>
  <si>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</si>
  <si>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</si>
  <si>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</si>
  <si>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</si>
  <si>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</si>
  <si>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</si>
  <si>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</si>
  <si>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</si>
  <si>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</si>
  <si>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</si>
  <si>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</si>
  <si>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</si>
  <si>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</si>
  <si>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</si>
  <si>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</si>
  <si>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</si>
  <si>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</si>
  <si>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</si>
  <si>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</si>
  <si>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</si>
  <si>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</si>
  <si>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</si>
  <si>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</si>
  <si>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</si>
  <si>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</si>
  <si>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</si>
  <si>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</si>
  <si>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</si>
  <si>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</si>
  <si>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</si>
  <si>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</si>
  <si>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</si>
  <si>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</si>
  <si>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</si>
  <si>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</si>
  <si>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</si>
  <si>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</si>
  <si>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</si>
  <si>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</si>
  <si>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</si>
  <si>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</si>
  <si>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</si>
  <si>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</si>
  <si>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</si>
  <si>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</si>
  <si>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</si>
  <si>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</si>
  <si>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</si>
  <si>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</si>
  <si>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</si>
  <si>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</si>
  <si>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</si>
  <si>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</si>
  <si>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</si>
  <si>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</si>
  <si>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</si>
  <si>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</si>
  <si>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</si>
  <si>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</si>
  <si>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</si>
  <si>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</si>
  <si>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</si>
  <si>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</si>
  <si>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</si>
  <si>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</si>
  <si>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</si>
  <si>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</si>
  <si>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</si>
  <si>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</si>
  <si>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</si>
  <si>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</si>
  <si>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</si>
  <si>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</si>
  <si>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</si>
  <si>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</si>
  <si>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</si>
  <si>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</si>
  <si>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</si>
  <si>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</si>
  <si>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</si>
  <si>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</si>
  <si>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</si>
  <si>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</si>
  <si>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</si>
  <si>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</si>
  <si>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</si>
  <si>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</si>
  <si>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</si>
  <si>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</si>
  <si>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</si>
  <si>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</si>
  <si>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</si>
  <si>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</si>
  <si>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</si>
  <si>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</si>
  <si>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</si>
  <si>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</si>
  <si>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</si>
  <si>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</si>
  <si>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</si>
  <si>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</si>
  <si>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</si>
  <si>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</si>
  <si>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</si>
  <si>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</si>
  <si>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</si>
  <si>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</si>
  <si>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</si>
  <si>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</si>
  <si>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</si>
  <si>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</si>
  <si>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</si>
  <si>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</si>
  <si>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</si>
  <si>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</si>
  <si>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</si>
  <si>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</si>
  <si>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</si>
  <si>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</si>
  <si>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</si>
  <si>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</si>
  <si>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</si>
  <si>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</si>
  <si>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</si>
  <si>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</si>
  <si>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</si>
  <si>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</si>
  <si>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</si>
  <si>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</si>
  <si>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</si>
  <si>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</si>
  <si>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</si>
  <si>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</si>
  <si>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</si>
  <si>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</si>
  <si>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</si>
  <si>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</si>
  <si>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</si>
  <si>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</si>
  <si>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</si>
  <si>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</si>
  <si>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</si>
  <si>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</si>
  <si>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</si>
  <si>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</si>
  <si>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</si>
  <si>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</si>
  <si>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</si>
  <si>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</si>
  <si>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</si>
  <si>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</si>
  <si>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</si>
  <si>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</si>
  <si>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</si>
  <si>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</si>
  <si>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</si>
  <si>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</si>
  <si>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</si>
  <si>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</si>
  <si>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</si>
  <si>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</si>
  <si>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</si>
  <si>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</si>
  <si>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</si>
  <si>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</si>
  <si>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</si>
  <si>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</si>
  <si>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</si>
  <si>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</si>
  <si>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</si>
  <si>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</si>
  <si>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</si>
  <si>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</si>
  <si>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</si>
  <si>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</si>
  <si>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</si>
  <si>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</si>
  <si>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</si>
  <si>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</si>
  <si>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</si>
  <si>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</si>
  <si>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</si>
  <si>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</si>
  <si>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</si>
  <si>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</si>
  <si>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</si>
  <si>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</si>
  <si>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</si>
  <si>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</si>
  <si>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</si>
  <si>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</si>
  <si>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</si>
  <si>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</si>
  <si>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</si>
  <si>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</si>
  <si>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</si>
  <si>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</si>
  <si>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</si>
  <si>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</si>
  <si>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</si>
  <si>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</si>
  <si>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</si>
  <si>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</si>
  <si>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</si>
  <si>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</si>
  <si>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</si>
  <si>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</si>
  <si>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</si>
  <si>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</si>
  <si>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</si>
  <si>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</si>
  <si>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</si>
  <si>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</si>
  <si>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</si>
  <si>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</si>
  <si>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</si>
  <si>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</si>
  <si>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</si>
  <si>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</si>
  <si>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</si>
  <si>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</si>
  <si>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</si>
  <si>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</si>
  <si>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</si>
  <si>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</si>
  <si>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</si>
  <si>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</si>
  <si>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</si>
  <si>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</si>
  <si>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</si>
  <si>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</si>
  <si>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</si>
  <si>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</si>
  <si>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</si>
  <si>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</si>
  <si>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</si>
  <si>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</si>
  <si>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</si>
  <si>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</si>
  <si>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</si>
  <si>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</si>
  <si>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</si>
  <si>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</si>
  <si>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</si>
  <si>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</si>
  <si>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</si>
  <si>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</si>
  <si>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</si>
  <si>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</si>
  <si>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</si>
  <si>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</si>
  <si>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</si>
  <si>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</si>
  <si>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</si>
  <si>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</si>
  <si>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</si>
  <si>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</si>
  <si>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</si>
  <si>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</si>
  <si>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</si>
  <si>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</si>
  <si>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</si>
  <si>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</si>
  <si>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</si>
  <si>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</si>
  <si>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</si>
  <si>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</si>
  <si>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</si>
  <si>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</si>
  <si>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</si>
  <si>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</si>
  <si>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</si>
  <si>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</si>
  <si>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</si>
  <si>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</si>
  <si>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</si>
  <si>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</si>
  <si>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</si>
  <si>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</si>
  <si>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</si>
  <si>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</si>
  <si>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</si>
  <si>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</si>
  <si>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</si>
  <si>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</si>
  <si>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</si>
  <si>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</si>
  <si>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</si>
  <si>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</si>
  <si>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</si>
  <si>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</si>
  <si>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</si>
  <si>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</si>
  <si>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</si>
  <si>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</si>
  <si>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</si>
  <si>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</si>
  <si>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</si>
  <si>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</si>
  <si>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</si>
  <si>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</si>
  <si>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</si>
  <si>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</si>
  <si>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</si>
  <si>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</si>
  <si>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</si>
  <si>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</si>
  <si>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</si>
  <si>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</si>
  <si>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</si>
  <si>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</si>
  <si>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</si>
  <si>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</si>
  <si>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</si>
  <si>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</si>
  <si>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</si>
  <si>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</si>
  <si>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</si>
  <si>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</si>
  <si>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</si>
  <si>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</si>
  <si>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</si>
  <si>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</si>
  <si>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</si>
  <si>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</si>
  <si>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</si>
  <si>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</si>
  <si>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</si>
  <si>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</si>
  <si>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</si>
  <si>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</si>
  <si>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</si>
  <si>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</si>
  <si>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</si>
  <si>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</si>
  <si>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</si>
  <si>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</si>
  <si>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</si>
  <si>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</si>
  <si>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</si>
  <si>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</si>
  <si>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</si>
  <si>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</si>
  <si>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</si>
  <si>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</si>
  <si>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</si>
  <si>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</si>
  <si>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</si>
  <si>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</si>
  <si>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</si>
  <si>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</si>
  <si>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</si>
  <si>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</si>
  <si>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</si>
  <si>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</si>
  <si>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</si>
  <si>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</si>
  <si>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</si>
  <si>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</si>
  <si>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</si>
  <si>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</si>
  <si>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</si>
  <si>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</si>
  <si>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</si>
  <si>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</si>
  <si>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</si>
  <si>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</si>
  <si>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</si>
  <si>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</si>
  <si>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</si>
  <si>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</si>
  <si>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</si>
  <si>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</si>
  <si>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</si>
  <si>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</si>
  <si>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</si>
  <si>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</si>
  <si>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</si>
  <si>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</si>
  <si>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</si>
  <si>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</si>
  <si>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</si>
  <si>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</si>
  <si>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</si>
  <si>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</si>
  <si>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</si>
  <si>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</si>
  <si>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</si>
  <si>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</si>
  <si>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</si>
  <si>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</si>
  <si>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</si>
  <si>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</si>
  <si>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</si>
  <si>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</si>
  <si>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</si>
  <si>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</si>
  <si>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</si>
  <si>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</si>
  <si>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</si>
  <si>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</si>
  <si>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</si>
  <si>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</si>
  <si>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</si>
  <si>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</si>
  <si>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</si>
  <si>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</si>
  <si>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</si>
  <si>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</si>
  <si>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</si>
  <si>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</si>
  <si>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</si>
  <si>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</si>
  <si>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</si>
  <si>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</si>
  <si>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</si>
  <si>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</si>
  <si>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</si>
  <si>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</si>
  <si>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</si>
  <si>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</si>
  <si>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</si>
  <si>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</si>
  <si>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</si>
  <si>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</si>
  <si>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</si>
  <si>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</si>
  <si>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</si>
  <si>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</si>
  <si>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</si>
  <si>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</si>
  <si>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</si>
  <si>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</si>
  <si>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</si>
  <si>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</si>
  <si>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</si>
  <si>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</si>
  <si>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</si>
  <si>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</si>
  <si>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</si>
  <si>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</si>
  <si>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</si>
  <si>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</si>
  <si>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</si>
  <si>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</si>
  <si>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</si>
  <si>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</si>
  <si>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</si>
  <si>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</si>
  <si>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</si>
  <si>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</si>
  <si>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</si>
  <si>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</si>
  <si>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</si>
  <si>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</si>
  <si>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</si>
  <si>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</si>
  <si>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</si>
  <si>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</si>
  <si>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</si>
  <si>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</si>
  <si>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</si>
  <si>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</si>
  <si>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</si>
  <si>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</si>
  <si>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</si>
  <si>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</si>
  <si>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</si>
  <si>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</si>
  <si>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</si>
  <si>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</si>
  <si>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</si>
  <si>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</si>
  <si>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</si>
  <si>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</si>
  <si>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</si>
  <si>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</si>
  <si>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</si>
  <si>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</si>
  <si>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</si>
  <si>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</si>
  <si>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</si>
  <si>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</si>
  <si>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</si>
  <si>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</si>
  <si>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</si>
  <si>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</si>
  <si>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</si>
  <si>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</si>
  <si>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</si>
  <si>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</si>
  <si>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</si>
  <si>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</si>
  <si>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</si>
  <si>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</si>
  <si>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</si>
  <si>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</si>
  <si>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</si>
  <si>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</si>
  <si>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</si>
  <si>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</si>
  <si>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</si>
  <si>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</si>
  <si>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</si>
  <si>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</si>
  <si>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</si>
  <si>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</si>
  <si>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</si>
  <si>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</si>
  <si>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</si>
  <si>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</si>
  <si>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</si>
  <si>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</si>
  <si>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</si>
  <si>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</si>
  <si>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</si>
  <si>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</si>
  <si>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</si>
  <si>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</si>
  <si>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</si>
  <si>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</si>
  <si>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</si>
  <si>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</si>
  <si>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</si>
  <si>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</si>
  <si>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</si>
  <si>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</si>
  <si>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</si>
  <si>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</si>
  <si>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</si>
  <si>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</si>
  <si>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</si>
  <si>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</si>
  <si>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</si>
  <si>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</si>
  <si>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</si>
  <si>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</si>
  <si>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</si>
  <si>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</si>
  <si>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</si>
  <si>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</si>
  <si>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</si>
  <si>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</si>
  <si>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</si>
  <si>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</si>
  <si>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</si>
  <si>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</si>
  <si>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</si>
  <si>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</si>
  <si>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</si>
  <si>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</si>
  <si>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</si>
  <si>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</si>
  <si>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</si>
  <si>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</si>
  <si>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</si>
  <si>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</si>
  <si>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</si>
  <si>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</si>
  <si>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</si>
  <si>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</si>
  <si>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</si>
  <si>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</si>
  <si>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</si>
  <si>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</si>
  <si>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</si>
  <si>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</si>
  <si>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</si>
  <si>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</si>
  <si>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</si>
  <si>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</si>
  <si>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</si>
  <si>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</si>
  <si>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</si>
  <si>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</si>
  <si>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</si>
  <si>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</si>
  <si>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</si>
  <si>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</si>
  <si>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</si>
  <si>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</si>
  <si>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</si>
  <si>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</si>
  <si>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</si>
  <si>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</si>
  <si>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</si>
  <si>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</si>
  <si>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</si>
  <si>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</si>
  <si>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</si>
  <si>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</si>
  <si>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</si>
  <si>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</si>
  <si>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</si>
  <si>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</si>
  <si>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</si>
  <si>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</si>
  <si>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</si>
  <si>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</si>
  <si>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</si>
  <si>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</si>
  <si>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</si>
  <si>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</si>
  <si>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</si>
  <si>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</si>
  <si>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</si>
  <si>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</si>
  <si>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</si>
  <si>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</si>
  <si>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</si>
  <si>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</si>
  <si>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</si>
  <si>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</si>
  <si>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</si>
  <si>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</si>
  <si>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</si>
  <si>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</si>
  <si>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</si>
  <si>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</si>
  <si>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</si>
  <si>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</si>
  <si>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</si>
  <si>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</si>
  <si>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</si>
  <si>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</si>
  <si>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</si>
  <si>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</si>
  <si>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</si>
  <si>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</si>
  <si>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</si>
  <si>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</si>
  <si>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</si>
  <si>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</si>
  <si>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</si>
  <si>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</si>
  <si>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</si>
  <si>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</si>
  <si>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</si>
  <si>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</si>
  <si>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</si>
  <si>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</si>
  <si>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</si>
  <si>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</si>
  <si>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</si>
  <si>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</si>
  <si>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</si>
  <si>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</si>
  <si>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</si>
  <si>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</si>
  <si>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</si>
  <si>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</si>
  <si>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</si>
  <si>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</si>
  <si>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</si>
  <si>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</si>
  <si>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</si>
  <si>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</si>
  <si>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</si>
  <si>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</si>
  <si>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</si>
  <si>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</si>
  <si>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</si>
  <si>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</si>
  <si>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</si>
  <si>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</si>
  <si>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</si>
  <si>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</si>
  <si>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</si>
  <si>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</si>
  <si>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</si>
  <si>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</si>
  <si>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</si>
  <si>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</si>
  <si>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</si>
  <si>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</si>
  <si>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</si>
  <si>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</si>
  <si>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</si>
  <si>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</si>
  <si>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</si>
  <si>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</si>
  <si>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</si>
  <si>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</si>
  <si>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</si>
  <si>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</si>
  <si>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</si>
  <si>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</si>
  <si>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</si>
  <si>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</si>
  <si>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</si>
  <si>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</si>
  <si>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</si>
  <si>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</si>
  <si>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</si>
  <si>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</si>
  <si>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</si>
  <si>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</si>
  <si>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</si>
  <si>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</si>
  <si>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</si>
  <si>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</si>
  <si>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</si>
  <si>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</si>
  <si>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</si>
  <si>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</si>
  <si>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</si>
  <si>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</si>
  <si>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</si>
  <si>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</si>
  <si>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</si>
  <si>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</si>
  <si>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</si>
  <si>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</si>
  <si>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</si>
  <si>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</si>
  <si>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</si>
  <si>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</si>
  <si>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</si>
  <si>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</si>
  <si>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</si>
  <si>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</si>
  <si>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</si>
  <si>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</si>
  <si>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</si>
  <si>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</si>
  <si>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</si>
  <si>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</si>
  <si>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</si>
  <si>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</si>
  <si>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</si>
  <si>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</si>
  <si>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</si>
  <si>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</si>
  <si>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</si>
  <si>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</si>
  <si>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</si>
  <si>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</si>
  <si>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</si>
  <si>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</si>
  <si>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</si>
  <si>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</si>
  <si>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</si>
  <si>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</si>
  <si>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</si>
  <si>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</si>
  <si>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</si>
  <si>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</si>
  <si>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</si>
  <si>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</si>
  <si>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</si>
  <si>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</si>
  <si>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</si>
  <si>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</si>
  <si>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</si>
  <si>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</si>
  <si>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</si>
  <si>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</si>
  <si>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</si>
  <si>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</si>
  <si>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</si>
  <si>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</si>
  <si>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</si>
  <si>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</si>
  <si>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</si>
  <si>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</si>
  <si>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</si>
  <si>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</si>
  <si>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</si>
  <si>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</si>
  <si>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</si>
  <si>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</si>
  <si>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</si>
  <si>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</si>
  <si>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</si>
  <si>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</si>
  <si>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</si>
  <si>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</si>
  <si>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</si>
  <si>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</si>
  <si>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</si>
  <si>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</si>
  <si>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</si>
  <si>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</si>
  <si>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</si>
  <si>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</si>
  <si>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</si>
  <si>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</si>
  <si>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</si>
  <si>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</si>
  <si>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</si>
  <si>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</si>
  <si>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</si>
  <si>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</si>
  <si>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</si>
  <si>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</si>
  <si>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</si>
  <si>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</si>
  <si>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</si>
  <si>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</si>
  <si>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</si>
  <si>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</si>
  <si>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</si>
  <si>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</si>
  <si>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</si>
  <si>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</si>
  <si>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</si>
  <si>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</si>
  <si>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</si>
  <si>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</si>
  <si>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</si>
  <si>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</si>
  <si>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</si>
  <si>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</si>
  <si>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</si>
  <si>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</si>
  <si>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</si>
  <si>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</si>
  <si>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</si>
  <si>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</si>
  <si>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</si>
  <si>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</si>
  <si>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</si>
  <si>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</si>
  <si>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</si>
  <si>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</si>
  <si>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</si>
  <si>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</si>
  <si>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</si>
  <si>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</si>
  <si>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</si>
  <si>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</si>
  <si>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</si>
  <si>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</si>
  <si>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</si>
  <si>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</si>
  <si>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</si>
  <si>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</si>
  <si>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</si>
  <si>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</si>
  <si>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</si>
  <si>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</si>
  <si>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</si>
  <si>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</si>
  <si>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</si>
  <si>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</si>
  <si>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</si>
  <si>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</si>
  <si>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</si>
  <si>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</si>
  <si>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</si>
  <si>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</si>
  <si>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</si>
  <si>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</si>
  <si>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</si>
  <si>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</si>
  <si>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</si>
  <si>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</si>
  <si>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</si>
  <si>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</si>
  <si>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</si>
  <si>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</si>
  <si>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</si>
  <si>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</si>
  <si>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</si>
  <si>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</si>
  <si>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</si>
  <si>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</si>
  <si>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</si>
  <si>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</si>
  <si>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</si>
  <si>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</si>
  <si>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</si>
  <si>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</si>
  <si>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</si>
  <si>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</si>
  <si>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</si>
  <si>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</si>
  <si>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</si>
  <si>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</si>
  <si>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</si>
  <si>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</si>
  <si>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</si>
  <si>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</si>
  <si>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</si>
  <si>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</si>
  <si>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</si>
  <si>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</si>
  <si>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</si>
  <si>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</si>
  <si>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</si>
  <si>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</si>
  <si>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</si>
  <si>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</si>
  <si>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</si>
  <si>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</si>
  <si>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</si>
  <si>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</si>
  <si>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</si>
  <si>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</si>
  <si>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</si>
  <si>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</si>
  <si>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</si>
  <si>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</si>
  <si>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</si>
  <si>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</si>
  <si>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</si>
  <si>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</si>
  <si>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</si>
  <si>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</si>
  <si>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</si>
  <si>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</si>
  <si>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</si>
  <si>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</si>
  <si>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</si>
  <si>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</si>
  <si>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</si>
  <si>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</si>
  <si>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</si>
  <si>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</si>
  <si>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</si>
  <si>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</si>
  <si>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</si>
  <si>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</si>
  <si>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70934004059</t>
  </si>
  <si>
    <t>05206936</t>
  </si>
  <si>
    <t>030228137</t>
  </si>
  <si>
    <t>SIKIREVČANKA D.O.O.</t>
  </si>
  <si>
    <t>SIKIREVCI</t>
  </si>
  <si>
    <t>LJUDEVITA GAJA 4/A</t>
  </si>
  <si>
    <t>sikirevcanka1@gmail.com</t>
  </si>
  <si>
    <t>035/481-215</t>
  </si>
  <si>
    <t>Ana Knežević</t>
  </si>
  <si>
    <t>0915567534</t>
  </si>
  <si>
    <t>ana.nikolic3107@gmail.com</t>
  </si>
  <si>
    <t>Knežević Ana</t>
  </si>
  <si>
    <t>4</t>
  </si>
  <si>
    <t>6</t>
  </si>
  <si>
    <t>7</t>
  </si>
  <si>
    <t>5</t>
  </si>
  <si>
    <t>8</t>
  </si>
  <si>
    <t>7.1</t>
  </si>
  <si>
    <t>8.1</t>
  </si>
  <si>
    <t>8.2</t>
  </si>
  <si>
    <t>9</t>
  </si>
  <si>
    <t>9.1</t>
  </si>
  <si>
    <t>9.1.2</t>
  </si>
  <si>
    <t>9.2</t>
  </si>
  <si>
    <t>10</t>
  </si>
  <si>
    <t>10.1</t>
  </si>
  <si>
    <t>12</t>
  </si>
  <si>
    <t>12.1</t>
  </si>
  <si>
    <t>12.1.3</t>
  </si>
  <si>
    <t>12.1.1</t>
  </si>
  <si>
    <t>12.1.2</t>
  </si>
  <si>
    <t>11.1</t>
  </si>
  <si>
    <t>13</t>
  </si>
  <si>
    <t>14</t>
  </si>
  <si>
    <t>15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</si>
</sst>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t="str">
        <f>IF(Bilanca!H10=0,"",Bilanca!H10)</f>
        <v>4</v>
      </c>
      <c r="H3" s="26">
        <f>J3/100*F3+2*K3/100*F3</f>
        <v>5908.58</v>
      </c>
      <c r="I3" s="27">
        <f>ABS(ROUND(J3,0)-J3)+ABS(ROUND(K3,0)-K3)</f>
        <v>0</v>
      </c>
      <c r="J3" s="27">
        <f>Bilanca!I10</f>
        <v>98479</v>
      </c>
      <c r="K3" s="27">
        <f>Bilanca!J10</f>
        <v>98475</v>
      </c>
    </row>
    <row r="4" spans="1:11" ht="12.75">
      <c r="A4" s="4" t="s">
        <v>2697</v>
      </c>
      <c r="B4" s="25" t="s">
        <v>364</v>
      </c>
      <c r="D4" s="4" t="s">
        <v>554</v>
      </c>
      <c r="E4" s="4">
        <v>1</v>
      </c>
      <c r="F4" s="4">
        <f>Bilanca!G11</f>
        <v>3</v>
      </c>
      <c r="G4" s="4" t="str">
        <f>IF(Bilanca!H11=0,"",Bilanca!H11)</f>
        <v>4</v>
      </c>
      <c r="H4" s="26">
        <f>J4/100*F4+2*K4/100*F4</f>
        <v>135.03</v>
      </c>
      <c r="I4" s="27">
        <f>ABS(ROUND(J4,0)-J4)+ABS(ROUND(K4,0)-K4)</f>
        <v>0</v>
      </c>
      <c r="J4" s="27">
        <f>Bilanca!I11</f>
        <v>2167</v>
      </c>
      <c r="K4" s="27">
        <f>Bilanca!J11</f>
        <v>1167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05206936</v>
      </c>
      <c r="D6" s="4" t="s">
        <v>554</v>
      </c>
      <c r="E6" s="4">
        <v>1</v>
      </c>
      <c r="F6" s="4">
        <f>Bilanca!G13</f>
        <v>5</v>
      </c>
      <c r="G6" s="4" t="str">
        <f>IF(Bilanca!H13=0,"",Bilanca!H13)</f>
        <v>4</v>
      </c>
      <c r="H6" s="26">
        <f aca="true" t="shared" si="0" ref="H6:H45">J6/100*F6+2*K6/100*F6</f>
        <v>225.05</v>
      </c>
      <c r="I6" s="27">
        <f aca="true" t="shared" si="1" ref="I6:I45">ABS(ROUND(J6,0)-J6)+ABS(ROUND(K6,0)-K6)</f>
        <v>0</v>
      </c>
      <c r="J6" s="27">
        <f>Bilanca!I13</f>
        <v>2167</v>
      </c>
      <c r="K6" s="27">
        <f>Bilanca!J13</f>
        <v>1167</v>
      </c>
    </row>
    <row r="7" spans="1:11" ht="12.75">
      <c r="A7" s="4" t="s">
        <v>1561</v>
      </c>
      <c r="B7" s="25" t="str">
        <f>RefStr!M27</f>
        <v>030228137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70934004059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SIKIREVČANKA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35224</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SIKIREVCI</v>
      </c>
      <c r="D11" s="4" t="s">
        <v>554</v>
      </c>
      <c r="E11" s="4">
        <v>1</v>
      </c>
      <c r="F11" s="4">
        <f>Bilanca!G18</f>
        <v>10</v>
      </c>
      <c r="G11" s="4" t="str">
        <f>IF(Bilanca!H18=0,"",Bilanca!H18)</f>
        <v>4</v>
      </c>
      <c r="H11" s="26">
        <f t="shared" si="0"/>
        <v>11337.2</v>
      </c>
      <c r="I11" s="27">
        <f t="shared" si="1"/>
        <v>0</v>
      </c>
      <c r="J11" s="27">
        <f>Bilanca!I18</f>
        <v>43262</v>
      </c>
      <c r="K11" s="27">
        <f>Bilanca!J18</f>
        <v>35055</v>
      </c>
    </row>
    <row r="12" spans="1:11" ht="12.75">
      <c r="A12" s="4" t="s">
        <v>2738</v>
      </c>
      <c r="B12" s="25" t="str">
        <f>TRIM(RefStr!C33)</f>
        <v>LJUDEVITA GAJA 4/A</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sikirevcanka1@gmail.com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12</v>
      </c>
      <c r="D15" s="4" t="s">
        <v>554</v>
      </c>
      <c r="E15" s="4">
        <v>1</v>
      </c>
      <c r="F15" s="4">
        <f>Bilanca!G22</f>
        <v>14</v>
      </c>
      <c r="G15" s="4" t="str">
        <f>IF(Bilanca!H22=0,"",Bilanca!H22)</f>
        <v>4</v>
      </c>
      <c r="H15" s="26">
        <f t="shared" si="0"/>
        <v>15872.08</v>
      </c>
      <c r="I15" s="27">
        <f t="shared" si="1"/>
        <v>0</v>
      </c>
      <c r="J15" s="27">
        <f>Bilanca!I22</f>
        <v>43262</v>
      </c>
      <c r="K15" s="27">
        <f>Bilanca!J22</f>
        <v>35055</v>
      </c>
    </row>
    <row r="16" spans="1:11" ht="12.75">
      <c r="A16" s="4" t="s">
        <v>2740</v>
      </c>
      <c r="B16" s="25" t="str">
        <f>TEXT(RefStr!C39,"000")</f>
        <v>570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8130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6</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9</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9</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t="str">
        <f>IF(Bilanca!H39=0,"",Bilanca!H39)</f>
        <v>6</v>
      </c>
      <c r="H32" s="26">
        <f t="shared" si="0"/>
        <v>55042.36</v>
      </c>
      <c r="I32" s="27">
        <f t="shared" si="1"/>
        <v>0</v>
      </c>
      <c r="J32" s="27">
        <f>Bilanca!I39</f>
        <v>53050</v>
      </c>
      <c r="K32" s="27">
        <f>Bilanca!J39</f>
        <v>62253</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t="str">
        <f>IF(Bilanca!H41=0,"",Bilanca!H41)</f>
        <v>6</v>
      </c>
      <c r="H34" s="26">
        <f t="shared" si="0"/>
        <v>55159.5</v>
      </c>
      <c r="I34" s="27">
        <f t="shared" si="1"/>
        <v>0</v>
      </c>
      <c r="J34" s="27">
        <f>Bilanca!I41</f>
        <v>51900</v>
      </c>
      <c r="K34" s="27">
        <f>Bilanca!J41</f>
        <v>57625</v>
      </c>
    </row>
    <row r="35" spans="1:11" ht="12.75">
      <c r="A35" s="4" t="s">
        <v>2903</v>
      </c>
      <c r="B35" s="25" t="s">
        <v>883</v>
      </c>
      <c r="D35" s="4" t="s">
        <v>554</v>
      </c>
      <c r="E35" s="4">
        <v>1</v>
      </c>
      <c r="F35" s="4">
        <f>Bilanca!G42</f>
        <v>34</v>
      </c>
      <c r="G35" s="4" t="str">
        <f>IF(Bilanca!H42=0,"",Bilanca!H42)</f>
        <v>6</v>
      </c>
      <c r="H35" s="26">
        <f t="shared" si="0"/>
        <v>3538.04</v>
      </c>
      <c r="I35" s="27">
        <f t="shared" si="1"/>
        <v>0</v>
      </c>
      <c r="J35" s="27">
        <f>Bilanca!I42</f>
        <v>1150</v>
      </c>
      <c r="K35" s="27">
        <f>Bilanca!J42</f>
        <v>4628</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t="str">
        <f>IF(Bilanca!H45=0,"",Bilanca!H45)</f>
        <v>7</v>
      </c>
      <c r="H38" s="26">
        <f t="shared" si="0"/>
        <v>110363.23</v>
      </c>
      <c r="I38" s="27">
        <f t="shared" si="1"/>
        <v>0</v>
      </c>
      <c r="J38" s="27">
        <f>Bilanca!I45</f>
        <v>84817</v>
      </c>
      <c r="K38" s="27">
        <f>Bilanca!J45</f>
        <v>106731</v>
      </c>
    </row>
    <row r="39" spans="1:11" ht="12.75">
      <c r="A39" s="4" t="s">
        <v>1611</v>
      </c>
      <c r="B39" s="25" t="str">
        <f>RefStr!C68</f>
        <v>Ana Knežević</v>
      </c>
      <c r="D39" s="4" t="s">
        <v>554</v>
      </c>
      <c r="E39" s="4">
        <v>1</v>
      </c>
      <c r="F39" s="4">
        <f>Bilanca!G46</f>
        <v>38</v>
      </c>
      <c r="G39" s="4" t="str">
        <f>IF(Bilanca!H46=0,"",Bilanca!H46)</f>
        <v>7</v>
      </c>
      <c r="H39" s="26">
        <f t="shared" si="0"/>
        <v>24434.76</v>
      </c>
      <c r="I39" s="27">
        <f t="shared" si="1"/>
        <v>0</v>
      </c>
      <c r="J39" s="27">
        <f>Bilanca!I46</f>
        <v>19864</v>
      </c>
      <c r="K39" s="27">
        <f>Bilanca!J46</f>
        <v>22219</v>
      </c>
    </row>
    <row r="40" spans="1:11" ht="12.75">
      <c r="A40" s="4" t="s">
        <v>1612</v>
      </c>
      <c r="B40" s="25" t="str">
        <f>TRIM(RefStr!C70)</f>
        <v>0915567534</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t="str">
        <f>IF(Bilanca!H48=0,"",Bilanca!H48)</f>
        <v>7</v>
      </c>
      <c r="H41" s="26">
        <f t="shared" si="0"/>
        <v>6423.6</v>
      </c>
      <c r="I41" s="27">
        <f t="shared" si="1"/>
        <v>0</v>
      </c>
      <c r="J41" s="27">
        <f>Bilanca!I48</f>
        <v>8755</v>
      </c>
      <c r="K41" s="27">
        <f>Bilanca!J48</f>
        <v>3652</v>
      </c>
    </row>
    <row r="42" spans="1:11" ht="12.75">
      <c r="A42" s="4" t="s">
        <v>1300</v>
      </c>
      <c r="B42" s="25" t="str">
        <f>TRIM(RefStr!C72)</f>
        <v>ana.nikolic3107@gmail.com</v>
      </c>
      <c r="D42" s="4" t="s">
        <v>554</v>
      </c>
      <c r="E42" s="4">
        <v>1</v>
      </c>
      <c r="F42" s="4">
        <f>Bilanca!G49</f>
        <v>41</v>
      </c>
      <c r="G42" s="4" t="str">
        <f>IF(Bilanca!H49=0,"",Bilanca!H49)</f>
        <v>7</v>
      </c>
      <c r="H42" s="26">
        <f t="shared" si="0"/>
        <v>8190.57</v>
      </c>
      <c r="I42" s="27">
        <f t="shared" si="1"/>
        <v>0</v>
      </c>
      <c r="J42" s="27">
        <f>Bilanca!I49</f>
        <v>3641</v>
      </c>
      <c r="K42" s="27">
        <f>Bilanca!J49</f>
        <v>8168</v>
      </c>
    </row>
    <row r="43" spans="1:11" ht="12.75">
      <c r="A43" s="4" t="s">
        <v>1299</v>
      </c>
      <c r="B43" s="25" t="str">
        <f>TRIM(RefStr!A75)</f>
        <v>Knežević Ana</v>
      </c>
      <c r="D43" s="4" t="s">
        <v>554</v>
      </c>
      <c r="E43" s="4">
        <v>1</v>
      </c>
      <c r="F43" s="4">
        <f>Bilanca!G50</f>
        <v>42</v>
      </c>
      <c r="G43" s="4" t="str">
        <f>IF(Bilanca!H50=0,"",Bilanca!H50)</f>
        <v>7</v>
      </c>
      <c r="H43" s="26">
        <f t="shared" si="0"/>
        <v>11871.720000000001</v>
      </c>
      <c r="I43" s="27">
        <f t="shared" si="1"/>
        <v>0</v>
      </c>
      <c r="J43" s="27">
        <f>Bilanca!I50</f>
        <v>7468</v>
      </c>
      <c r="K43" s="27">
        <f>Bilanca!J50</f>
        <v>10399</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324.3</v>
      </c>
      <c r="I47" s="27">
        <f t="shared" si="3"/>
        <v>0</v>
      </c>
      <c r="J47" s="27">
        <f>Bilanca!I54</f>
        <v>705</v>
      </c>
      <c r="K47" s="27">
        <f>Bilanca!J54</f>
        <v>0</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0</v>
      </c>
      <c r="I50" s="27">
        <f t="shared" si="3"/>
        <v>0</v>
      </c>
      <c r="J50" s="27">
        <f>Bilanca!I57</f>
        <v>0</v>
      </c>
      <c r="K50" s="27">
        <f>Bilanca!J57</f>
        <v>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359.55</v>
      </c>
      <c r="I52" s="27">
        <f t="shared" si="3"/>
        <v>0</v>
      </c>
      <c r="J52" s="27">
        <f>Bilanca!I59</f>
        <v>705</v>
      </c>
      <c r="K52" s="27">
        <f>Bilanca!J59</f>
        <v>0</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755451300.95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5</v>
      </c>
      <c r="H64" s="26">
        <f t="shared" si="2"/>
        <v>146961.36</v>
      </c>
      <c r="I64" s="27">
        <f t="shared" si="3"/>
        <v>0</v>
      </c>
      <c r="J64" s="27">
        <f>Bilanca!I71</f>
        <v>64248</v>
      </c>
      <c r="K64" s="27">
        <f>Bilanca!J71</f>
        <v>84512</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385910.2</v>
      </c>
      <c r="I66" s="27">
        <f t="shared" si="3"/>
        <v>0</v>
      </c>
      <c r="J66" s="27">
        <f>Bilanca!I73</f>
        <v>183296</v>
      </c>
      <c r="K66" s="27">
        <f>Bilanca!J73</f>
        <v>205206</v>
      </c>
    </row>
    <row r="67" spans="1:11" ht="12.75">
      <c r="A67" s="4" t="s">
        <v>925</v>
      </c>
      <c r="B67" s="25" t="str">
        <f>TRIM(RefStr!L35)</f>
        <v>035/481-215</v>
      </c>
      <c r="D67" s="4" t="s">
        <v>554</v>
      </c>
      <c r="E67" s="4">
        <v>1</v>
      </c>
      <c r="F67" s="4">
        <f>Bilanca!G74</f>
        <v>66</v>
      </c>
      <c r="G67" s="4" t="str">
        <f>IF(Bilanca!H74=0,"",Bilanca!H74)</f>
        <v>7.1</v>
      </c>
      <c r="H67" s="26">
        <f t="shared" si="2"/>
        <v>5739.36</v>
      </c>
      <c r="I67" s="27">
        <f t="shared" si="3"/>
        <v>0</v>
      </c>
      <c r="J67" s="27">
        <f>Bilanca!I74</f>
        <v>0</v>
      </c>
      <c r="K67" s="27">
        <f>Bilanca!J74</f>
        <v>4348</v>
      </c>
    </row>
    <row r="68" spans="1:11" ht="12.75">
      <c r="A68" s="4" t="s">
        <v>926</v>
      </c>
      <c r="B68" s="25">
        <f>RefStr!C44</f>
        <v>1</v>
      </c>
      <c r="D68" s="4" t="s">
        <v>554</v>
      </c>
      <c r="E68" s="4">
        <v>1</v>
      </c>
      <c r="F68" s="4">
        <f>Bilanca!G76</f>
        <v>67</v>
      </c>
      <c r="G68" s="4" t="str">
        <f>IF(Bilanca!H76=0,"",Bilanca!H76)</f>
        <v>8</v>
      </c>
      <c r="H68" s="26">
        <f t="shared" si="2"/>
        <v>230916.16999999998</v>
      </c>
      <c r="I68" s="27">
        <f t="shared" si="3"/>
        <v>0</v>
      </c>
      <c r="J68" s="27">
        <f>Bilanca!I76</f>
        <v>108547</v>
      </c>
      <c r="K68" s="27">
        <f>Bilanca!J76</f>
        <v>118052</v>
      </c>
    </row>
    <row r="69" spans="1:11" ht="12.75">
      <c r="A69" s="4" t="s">
        <v>927</v>
      </c>
      <c r="B69" s="25">
        <f>TRIM(RefStr!M46)</f>
      </c>
      <c r="D69" s="4" t="s">
        <v>554</v>
      </c>
      <c r="E69" s="4">
        <v>1</v>
      </c>
      <c r="F69" s="4">
        <f>Bilanca!G77</f>
        <v>68</v>
      </c>
      <c r="G69" s="4" t="str">
        <f>IF(Bilanca!H77=0,"",Bilanca!H77)</f>
        <v>8.1</v>
      </c>
      <c r="H69" s="26">
        <f t="shared" si="2"/>
        <v>204000</v>
      </c>
      <c r="I69" s="27">
        <f t="shared" si="3"/>
        <v>0</v>
      </c>
      <c r="J69" s="27">
        <f>Bilanca!I77</f>
        <v>100000</v>
      </c>
      <c r="K69" s="27">
        <f>Bilanca!J77</f>
        <v>100000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t="str">
        <f>IF(Bilanca!H92=0,"",Bilanca!H92)</f>
        <v>8</v>
      </c>
      <c r="H84" s="26">
        <f t="shared" si="2"/>
        <v>18459.2</v>
      </c>
      <c r="I84" s="27">
        <f t="shared" si="3"/>
        <v>0</v>
      </c>
      <c r="J84" s="27">
        <f>Bilanca!I92</f>
        <v>5146</v>
      </c>
      <c r="K84" s="27">
        <f>Bilanca!J92</f>
        <v>8547</v>
      </c>
    </row>
    <row r="85" spans="4:11" ht="12.75">
      <c r="D85" s="4" t="s">
        <v>554</v>
      </c>
      <c r="E85" s="4">
        <v>1</v>
      </c>
      <c r="F85" s="4">
        <f>Bilanca!G93</f>
        <v>84</v>
      </c>
      <c r="G85" s="4" t="str">
        <f>IF(Bilanca!H93=0,"",Bilanca!H93)</f>
        <v>8</v>
      </c>
      <c r="H85" s="26">
        <f t="shared" si="2"/>
        <v>18681.6</v>
      </c>
      <c r="I85" s="27">
        <f t="shared" si="3"/>
        <v>0</v>
      </c>
      <c r="J85" s="27">
        <f>Bilanca!I93</f>
        <v>5146</v>
      </c>
      <c r="K85" s="27">
        <f>Bilanca!J93</f>
        <v>8547</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8</v>
      </c>
      <c r="H87" s="26">
        <f>J87/100*F87+2*K87/100*F87</f>
        <v>19273.46</v>
      </c>
      <c r="I87" s="27">
        <f>ABS(ROUND(J87,0)-J87)+ABS(ROUND(K87,0)-K87)</f>
        <v>0</v>
      </c>
      <c r="J87" s="27">
        <f>Bilanca!I95</f>
        <v>3401</v>
      </c>
      <c r="K87" s="27">
        <f>Bilanca!J95</f>
        <v>9505</v>
      </c>
    </row>
    <row r="88" spans="4:11" ht="12.75">
      <c r="D88" s="4" t="s">
        <v>554</v>
      </c>
      <c r="E88" s="4">
        <v>1</v>
      </c>
      <c r="F88" s="4">
        <f>Bilanca!G96</f>
        <v>87</v>
      </c>
      <c r="G88" s="4" t="str">
        <f>IF(Bilanca!H96=0,"",Bilanca!H96)</f>
        <v>8.2</v>
      </c>
      <c r="H88" s="26">
        <f>J88/100*F88+2*K88/100*F88</f>
        <v>19497.57</v>
      </c>
      <c r="I88" s="27">
        <f>ABS(ROUND(J88,0)-J88)+ABS(ROUND(K88,0)-K88)</f>
        <v>0</v>
      </c>
      <c r="J88" s="27">
        <f>Bilanca!I96</f>
        <v>3401</v>
      </c>
      <c r="K88" s="27">
        <f>Bilanca!J96</f>
        <v>9505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t="str">
        <f>IF(Bilanca!H118=0,"",Bilanca!H118)</f>
        <v>9</v>
      </c>
      <c r="H110" s="26">
        <f t="shared" si="4"/>
        <v>268607.61</v>
      </c>
      <c r="I110" s="27">
        <f t="shared" si="5"/>
        <v>0</v>
      </c>
      <c r="J110" s="27">
        <f>Bilanca!I118</f>
        <v>74749</v>
      </c>
      <c r="K110" s="27">
        <f>Bilanca!J118</f>
        <v>85840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t="str">
        <f>IF(Bilanca!H126=0,"",Bilanca!H126)</f>
        <v>9.1</v>
      </c>
      <c r="H118" s="26">
        <f t="shared" si="4"/>
        <v>83449.08</v>
      </c>
      <c r="I118" s="27">
        <f t="shared" si="5"/>
        <v>0</v>
      </c>
      <c r="J118" s="27">
        <f>Bilanca!I126</f>
        <v>12766</v>
      </c>
      <c r="K118" s="27">
        <f>Bilanca!J126</f>
        <v>29279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9.1</v>
      </c>
      <c r="H120" s="26">
        <f t="shared" si="4"/>
        <v>107798.53</v>
      </c>
      <c r="I120" s="27">
        <f t="shared" si="5"/>
        <v>0</v>
      </c>
      <c r="J120" s="27">
        <f>Bilanca!I128</f>
        <v>34831</v>
      </c>
      <c r="K120" s="27">
        <f>Bilanca!J128</f>
        <v>27878</v>
      </c>
    </row>
    <row r="121" spans="4:11" ht="12.75">
      <c r="D121" s="4" t="s">
        <v>554</v>
      </c>
      <c r="E121" s="4">
        <v>1</v>
      </c>
      <c r="F121" s="4">
        <f>Bilanca!G129</f>
        <v>120</v>
      </c>
      <c r="G121" s="4" t="str">
        <f>IF(Bilanca!H129=0,"",Bilanca!H129)</f>
        <v>9.1</v>
      </c>
      <c r="H121" s="26">
        <f t="shared" si="4"/>
        <v>97459.20000000001</v>
      </c>
      <c r="I121" s="27">
        <f t="shared" si="5"/>
        <v>0</v>
      </c>
      <c r="J121" s="27">
        <f>Bilanca!I129</f>
        <v>26020</v>
      </c>
      <c r="K121" s="27">
        <f>Bilanca!J129</f>
        <v>27598</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9</v>
      </c>
      <c r="H124" s="26">
        <f t="shared" si="4"/>
        <v>4061.46</v>
      </c>
      <c r="I124" s="27">
        <f t="shared" si="5"/>
        <v>0</v>
      </c>
      <c r="J124" s="27">
        <f>Bilanca!I132</f>
        <v>1132</v>
      </c>
      <c r="K124" s="27">
        <f>Bilanca!J132</f>
        <v>1085</v>
      </c>
    </row>
    <row r="125" spans="4:11" ht="12.75">
      <c r="D125" s="4" t="s">
        <v>554</v>
      </c>
      <c r="E125" s="4">
        <v>1</v>
      </c>
      <c r="F125" s="4">
        <f>Bilanca!G133</f>
        <v>124</v>
      </c>
      <c r="G125" s="4" t="str">
        <f>IF(Bilanca!H133=0,"",Bilanca!H133)</f>
        <v>9.1.2</v>
      </c>
      <c r="H125" s="26">
        <f t="shared" si="4"/>
        <v>3258.7200000000003</v>
      </c>
      <c r="I125" s="27">
        <f t="shared" si="5"/>
        <v>0</v>
      </c>
      <c r="J125" s="27">
        <f>Bilanca!I133</f>
        <v>0</v>
      </c>
      <c r="K125" s="27">
        <f>Bilanca!J133</f>
        <v>1314</v>
      </c>
    </row>
    <row r="126" spans="4:11" ht="12.75">
      <c r="D126" s="4" t="s">
        <v>554</v>
      </c>
      <c r="E126" s="4">
        <v>1</v>
      </c>
      <c r="F126" s="4">
        <f>Bilanca!G134</f>
        <v>125</v>
      </c>
      <c r="G126" s="4">
        <f>IF(Bilanca!H134=0,"",Bilanca!H134)</f>
      </c>
      <c r="H126" s="26">
        <f t="shared" si="4"/>
        <v>742135</v>
      </c>
      <c r="I126" s="27">
        <f t="shared" si="5"/>
        <v>0</v>
      </c>
      <c r="J126" s="27">
        <f>Bilanca!I134</f>
        <v>183296</v>
      </c>
      <c r="K126" s="27">
        <f>Bilanca!J134</f>
        <v>205206</v>
      </c>
    </row>
    <row r="127" spans="4:11" ht="12.75">
      <c r="D127" s="4" t="s">
        <v>554</v>
      </c>
      <c r="E127" s="4">
        <v>1</v>
      </c>
      <c r="F127" s="4">
        <f>Bilanca!G135</f>
        <v>126</v>
      </c>
      <c r="G127" s="4" t="str">
        <f>IF(Bilanca!H135=0,"",Bilanca!H135)</f>
        <v>9.2</v>
      </c>
      <c r="H127" s="26">
        <f t="shared" si="4"/>
        <v>10956.96</v>
      </c>
      <c r="I127" s="27">
        <f t="shared" si="5"/>
        <v>0</v>
      </c>
      <c r="J127" s="27">
        <f>Bilanca!I135</f>
        <v>0</v>
      </c>
      <c r="K127" s="27">
        <f>Bilanca!J135</f>
        <v>4348</v>
      </c>
    </row>
    <row r="128" spans="4:11" ht="12.75">
      <c r="D128" s="4" t="s">
        <v>794</v>
      </c>
      <c r="E128" s="4">
        <v>2</v>
      </c>
      <c r="F128" s="4">
        <f>RDG!G8</f>
        <v>127</v>
      </c>
      <c r="G128" s="4" t="str">
        <f>IF(RDG!H8=0,"",RDG!H8)</f>
        <v>10</v>
      </c>
      <c r="H128" s="26">
        <f t="shared" si="4"/>
        <v>3622984.88</v>
      </c>
      <c r="I128" s="4">
        <f t="shared" si="5"/>
        <v>0</v>
      </c>
      <c r="J128" s="27">
        <f>RDG!I8</f>
        <v>827020</v>
      </c>
      <c r="K128" s="27">
        <f>RDG!J8</f>
        <v>1012862</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10.1</v>
      </c>
      <c r="H130" s="26">
        <f aca="true" t="shared" si="6" ref="H130:H192">J130/100*F130+2*K130/100*F130</f>
        <v>2787790.62</v>
      </c>
      <c r="I130" s="4">
        <f aca="true" t="shared" si="7" ref="I130:I192">ABS(ROUND(J130,0)-J130)+ABS(ROUND(K130,0)-K130)</f>
        <v>0</v>
      </c>
      <c r="J130" s="27">
        <f>RDG!I10</f>
        <v>721156</v>
      </c>
      <c r="K130" s="27">
        <f>RDG!J10</f>
        <v>719961</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10.1</v>
      </c>
      <c r="H133" s="26">
        <f t="shared" si="6"/>
        <v>912999.12</v>
      </c>
      <c r="I133" s="4">
        <f t="shared" si="7"/>
        <v>0</v>
      </c>
      <c r="J133" s="27">
        <f>RDG!I13</f>
        <v>105864</v>
      </c>
      <c r="K133" s="27">
        <f>RDG!J13</f>
        <v>292901</v>
      </c>
    </row>
    <row r="134" spans="4:11" ht="12.75">
      <c r="D134" s="4" t="s">
        <v>794</v>
      </c>
      <c r="E134" s="4">
        <v>2</v>
      </c>
      <c r="F134" s="4">
        <f>RDG!G14</f>
        <v>133</v>
      </c>
      <c r="G134" s="4" t="str">
        <f>IF(RDG!H14=0,"",RDG!H14)</f>
        <v>12</v>
      </c>
      <c r="H134" s="26">
        <f t="shared" si="6"/>
        <v>3745813.33</v>
      </c>
      <c r="I134" s="4">
        <f t="shared" si="7"/>
        <v>0</v>
      </c>
      <c r="J134" s="27">
        <f>RDG!I14</f>
        <v>820171</v>
      </c>
      <c r="K134" s="27">
        <f>RDG!J14</f>
        <v>998115</v>
      </c>
    </row>
    <row r="135" spans="4:11" ht="12.75">
      <c r="D135" s="4" t="s">
        <v>794</v>
      </c>
      <c r="E135" s="4">
        <v>2</v>
      </c>
      <c r="F135" s="4">
        <f>RDG!G15</f>
        <v>134</v>
      </c>
      <c r="G135" s="4" t="str">
        <f>IF(RDG!H15=0,"",RDG!H15)</f>
        <v>12.1</v>
      </c>
      <c r="H135" s="26">
        <f t="shared" si="6"/>
        <v>-15066.96</v>
      </c>
      <c r="I135" s="4">
        <f t="shared" si="7"/>
        <v>0</v>
      </c>
      <c r="J135" s="27">
        <f>RDG!I15</f>
        <v>-12396</v>
      </c>
      <c r="K135" s="27">
        <f>RDG!J15</f>
        <v>576</v>
      </c>
    </row>
    <row r="136" spans="4:11" ht="12.75">
      <c r="D136" s="4" t="s">
        <v>794</v>
      </c>
      <c r="E136" s="4">
        <v>2</v>
      </c>
      <c r="F136" s="4">
        <f>RDG!G16</f>
        <v>135</v>
      </c>
      <c r="G136" s="4" t="str">
        <f>IF(RDG!H16=0,"",RDG!H16)</f>
        <v>12.1</v>
      </c>
      <c r="H136" s="26">
        <f t="shared" si="6"/>
        <v>1296159.3</v>
      </c>
      <c r="I136" s="4">
        <f t="shared" si="7"/>
        <v>0</v>
      </c>
      <c r="J136" s="27">
        <f>RDG!I16</f>
        <v>209994</v>
      </c>
      <c r="K136" s="27">
        <f>RDG!J16</f>
        <v>375062</v>
      </c>
    </row>
    <row r="137" spans="4:11" ht="12.75">
      <c r="D137" s="4" t="s">
        <v>794</v>
      </c>
      <c r="E137" s="4">
        <v>2</v>
      </c>
      <c r="F137" s="4">
        <f>RDG!G17</f>
        <v>136</v>
      </c>
      <c r="G137" s="4" t="str">
        <f>IF(RDG!H17=0,"",RDG!H17)</f>
        <v>12.1</v>
      </c>
      <c r="H137" s="26">
        <f t="shared" si="6"/>
        <v>544595.6799999999</v>
      </c>
      <c r="I137" s="4">
        <f t="shared" si="7"/>
        <v>0</v>
      </c>
      <c r="J137" s="27">
        <f>RDG!I17</f>
        <v>118892</v>
      </c>
      <c r="K137" s="27">
        <f>RDG!J17</f>
        <v>140773</v>
      </c>
    </row>
    <row r="138" spans="4:11" ht="12.75">
      <c r="D138" s="4" t="s">
        <v>794</v>
      </c>
      <c r="E138" s="4">
        <v>2</v>
      </c>
      <c r="F138" s="4">
        <f>RDG!G18</f>
        <v>137</v>
      </c>
      <c r="G138" s="4" t="str">
        <f>IF(RDG!H18=0,"",RDG!H18)</f>
        <v>12.1.3</v>
      </c>
      <c r="H138" s="26">
        <f t="shared" si="6"/>
        <v>643184.86</v>
      </c>
      <c r="I138" s="4">
        <f t="shared" si="7"/>
        <v>0</v>
      </c>
      <c r="J138" s="27">
        <f>RDG!I18</f>
        <v>68032</v>
      </c>
      <c r="K138" s="27">
        <f>RDG!J18</f>
        <v>200723</v>
      </c>
    </row>
    <row r="139" spans="4:11" ht="12.75">
      <c r="D139" s="4" t="s">
        <v>794</v>
      </c>
      <c r="E139" s="4">
        <v>2</v>
      </c>
      <c r="F139" s="4">
        <f>RDG!G19</f>
        <v>138</v>
      </c>
      <c r="G139" s="4" t="str">
        <f>IF(RDG!H19=0,"",RDG!H19)</f>
        <v>12.1.1</v>
      </c>
      <c r="H139" s="26">
        <f t="shared" si="6"/>
        <v>124478.76000000001</v>
      </c>
      <c r="I139" s="4">
        <f t="shared" si="7"/>
        <v>0</v>
      </c>
      <c r="J139" s="27">
        <f>RDG!I19</f>
        <v>23070</v>
      </c>
      <c r="K139" s="27">
        <f>RDG!J19</f>
        <v>33566</v>
      </c>
    </row>
    <row r="140" spans="4:11" ht="12.75">
      <c r="D140" s="4" t="s">
        <v>794</v>
      </c>
      <c r="E140" s="4">
        <v>2</v>
      </c>
      <c r="F140" s="4">
        <f>RDG!G20</f>
        <v>139</v>
      </c>
      <c r="G140" s="4" t="str">
        <f>IF(RDG!H20=0,"",RDG!H20)</f>
        <v>12</v>
      </c>
      <c r="H140" s="26">
        <f t="shared" si="6"/>
        <v>2302754.62</v>
      </c>
      <c r="I140" s="4">
        <f t="shared" si="7"/>
        <v>0</v>
      </c>
      <c r="J140" s="27">
        <f>RDG!I20</f>
        <v>480842</v>
      </c>
      <c r="K140" s="27">
        <f>RDG!J20</f>
        <v>587908</v>
      </c>
    </row>
    <row r="141" spans="4:11" ht="12.75">
      <c r="D141" s="4" t="s">
        <v>794</v>
      </c>
      <c r="E141" s="4">
        <v>2</v>
      </c>
      <c r="F141" s="4">
        <f>RDG!G21</f>
        <v>140</v>
      </c>
      <c r="G141" s="4" t="str">
        <f>IF(RDG!H21=0,"",RDG!H21)</f>
        <v>12</v>
      </c>
      <c r="H141" s="26">
        <f t="shared" si="6"/>
        <v>1619781.8</v>
      </c>
      <c r="I141" s="4">
        <f t="shared" si="7"/>
        <v>0</v>
      </c>
      <c r="J141" s="27">
        <f>RDG!I21</f>
        <v>332297</v>
      </c>
      <c r="K141" s="27">
        <f>RDG!J21</f>
        <v>412345</v>
      </c>
    </row>
    <row r="142" spans="4:11" ht="12.75">
      <c r="D142" s="4" t="s">
        <v>794</v>
      </c>
      <c r="E142" s="4">
        <v>2</v>
      </c>
      <c r="F142" s="4">
        <f>RDG!G22</f>
        <v>141</v>
      </c>
      <c r="G142" s="4" t="str">
        <f>IF(RDG!H22=0,"",RDG!H22)</f>
        <v>12</v>
      </c>
      <c r="H142" s="26">
        <f t="shared" si="6"/>
        <v>430496.97000000003</v>
      </c>
      <c r="I142" s="4">
        <f t="shared" si="7"/>
        <v>0</v>
      </c>
      <c r="J142" s="27">
        <f>RDG!I22</f>
        <v>88391</v>
      </c>
      <c r="K142" s="27">
        <f>RDG!J22</f>
        <v>108463</v>
      </c>
    </row>
    <row r="143" spans="4:11" ht="12.75">
      <c r="D143" s="4" t="s">
        <v>794</v>
      </c>
      <c r="E143" s="4">
        <v>2</v>
      </c>
      <c r="F143" s="4">
        <f>RDG!G23</f>
        <v>142</v>
      </c>
      <c r="G143" s="4" t="str">
        <f>IF(RDG!H23=0,"",RDG!H23)</f>
        <v>12</v>
      </c>
      <c r="H143" s="26">
        <f t="shared" si="6"/>
        <v>275982.68</v>
      </c>
      <c r="I143" s="4">
        <f t="shared" si="7"/>
        <v>0</v>
      </c>
      <c r="J143" s="27">
        <f>RDG!I23</f>
        <v>60154</v>
      </c>
      <c r="K143" s="27">
        <f>RDG!J23</f>
        <v>67100</v>
      </c>
    </row>
    <row r="144" spans="4:11" ht="12.75">
      <c r="D144" s="4" t="s">
        <v>794</v>
      </c>
      <c r="E144" s="4">
        <v>2</v>
      </c>
      <c r="F144" s="4">
        <f>RDG!G24</f>
        <v>143</v>
      </c>
      <c r="G144" s="4" t="str">
        <f>IF(RDG!H24=0,"",RDG!H24)</f>
        <v>12</v>
      </c>
      <c r="H144" s="26">
        <f t="shared" si="6"/>
        <v>57927.869999999995</v>
      </c>
      <c r="I144" s="4">
        <f t="shared" si="7"/>
        <v>0</v>
      </c>
      <c r="J144" s="27">
        <f>RDG!I24</f>
        <v>9895</v>
      </c>
      <c r="K144" s="27">
        <f>RDG!J24</f>
        <v>15307</v>
      </c>
    </row>
    <row r="145" spans="4:11" ht="12.75">
      <c r="D145" s="4" t="s">
        <v>794</v>
      </c>
      <c r="E145" s="4">
        <v>2</v>
      </c>
      <c r="F145" s="4">
        <f>RDG!G25</f>
        <v>144</v>
      </c>
      <c r="G145" s="4" t="str">
        <f>IF(RDG!H25=0,"",RDG!H25)</f>
        <v>12.1.2</v>
      </c>
      <c r="H145" s="26">
        <f t="shared" si="6"/>
        <v>83666.88</v>
      </c>
      <c r="I145" s="4">
        <f t="shared" si="7"/>
        <v>0</v>
      </c>
      <c r="J145" s="27">
        <f>RDG!I25</f>
        <v>25972</v>
      </c>
      <c r="K145" s="27">
        <f>RDG!J25</f>
        <v>16065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12</v>
      </c>
      <c r="H156" s="26">
        <f t="shared" si="6"/>
        <v>173999.90000000002</v>
      </c>
      <c r="I156" s="4">
        <f t="shared" si="7"/>
        <v>0</v>
      </c>
      <c r="J156" s="27">
        <f>RDG!I36</f>
        <v>105864</v>
      </c>
      <c r="K156" s="27">
        <f>RDG!J36</f>
        <v>3197</v>
      </c>
    </row>
    <row r="157" spans="4:11" ht="12.75">
      <c r="D157" s="4" t="s">
        <v>794</v>
      </c>
      <c r="E157" s="4">
        <v>2</v>
      </c>
      <c r="F157" s="4">
        <f>RDG!G37</f>
        <v>156</v>
      </c>
      <c r="G157" s="4" t="str">
        <f>IF(RDG!H37=0,"",RDG!H37)</f>
        <v>11.1</v>
      </c>
      <c r="H157" s="26">
        <f t="shared" si="6"/>
        <v>1028.04</v>
      </c>
      <c r="I157" s="4">
        <f t="shared" si="7"/>
        <v>0</v>
      </c>
      <c r="J157" s="27">
        <f>RDG!I37</f>
        <v>73</v>
      </c>
      <c r="K157" s="27">
        <f>RDG!J37</f>
        <v>293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1.6300000000000001</v>
      </c>
      <c r="I164" s="4">
        <f t="shared" si="7"/>
        <v>0</v>
      </c>
      <c r="J164" s="27">
        <f>RDG!I44</f>
        <v>1</v>
      </c>
      <c r="K164" s="27">
        <f>RDG!J44</f>
        <v>0</v>
      </c>
    </row>
    <row r="165" spans="4:11" ht="12.75">
      <c r="D165" s="4" t="s">
        <v>794</v>
      </c>
      <c r="E165" s="4">
        <v>2</v>
      </c>
      <c r="F165" s="4">
        <f>RDG!G45</f>
        <v>164</v>
      </c>
      <c r="G165" s="4" t="str">
        <f>IF(RDG!H45=0,"",RDG!H45)</f>
        <v>11.1</v>
      </c>
      <c r="H165" s="26">
        <f t="shared" si="6"/>
        <v>1079.1200000000001</v>
      </c>
      <c r="I165" s="4">
        <f t="shared" si="7"/>
        <v>0</v>
      </c>
      <c r="J165" s="27">
        <f>RDG!I45</f>
        <v>72</v>
      </c>
      <c r="K165" s="27">
        <f>RDG!J45</f>
        <v>293</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13</v>
      </c>
      <c r="H168" s="26">
        <f t="shared" si="6"/>
        <v>20210.34</v>
      </c>
      <c r="I168" s="4">
        <f t="shared" si="7"/>
        <v>0</v>
      </c>
      <c r="J168" s="27">
        <f>RDG!I48</f>
        <v>3144</v>
      </c>
      <c r="K168" s="27">
        <f>RDG!J48</f>
        <v>4479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1.7</v>
      </c>
      <c r="I171" s="4">
        <f t="shared" si="7"/>
        <v>0</v>
      </c>
      <c r="J171" s="27">
        <f>RDG!I51</f>
        <v>1</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t="str">
        <f>IF(RDG!H55=0,"",RDG!H55)</f>
        <v>13</v>
      </c>
      <c r="H175" s="26">
        <f t="shared" si="6"/>
        <v>21055.739999999998</v>
      </c>
      <c r="I175" s="4">
        <f t="shared" si="7"/>
        <v>0</v>
      </c>
      <c r="J175" s="27">
        <f>RDG!I55</f>
        <v>3143</v>
      </c>
      <c r="K175" s="27">
        <f>RDG!J55</f>
        <v>4479</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5107591.37</v>
      </c>
      <c r="I180" s="4">
        <f t="shared" si="7"/>
        <v>0</v>
      </c>
      <c r="J180" s="27">
        <f>RDG!I60</f>
        <v>827093</v>
      </c>
      <c r="K180" s="27">
        <f>RDG!J60</f>
        <v>1013155</v>
      </c>
    </row>
    <row r="181" spans="4:11" ht="12.75">
      <c r="D181" s="4" t="s">
        <v>794</v>
      </c>
      <c r="E181" s="4">
        <v>2</v>
      </c>
      <c r="F181" s="4">
        <f>RDG!G61</f>
        <v>180</v>
      </c>
      <c r="G181" s="4">
        <f>IF(RDG!H61=0,"",RDG!H61)</f>
      </c>
      <c r="H181" s="26">
        <f t="shared" si="6"/>
        <v>5091305.4</v>
      </c>
      <c r="I181" s="4">
        <f t="shared" si="7"/>
        <v>0</v>
      </c>
      <c r="J181" s="27">
        <f>RDG!I61</f>
        <v>823315</v>
      </c>
      <c r="K181" s="27">
        <f>RDG!J61</f>
        <v>1002594</v>
      </c>
    </row>
    <row r="182" spans="4:11" ht="12.75">
      <c r="D182" s="4" t="s">
        <v>794</v>
      </c>
      <c r="E182" s="4">
        <v>2</v>
      </c>
      <c r="F182" s="4">
        <f>RDG!G62</f>
        <v>181</v>
      </c>
      <c r="G182" s="4" t="str">
        <f>IF(RDG!H62=0,"",RDG!H62)</f>
        <v>14</v>
      </c>
      <c r="H182" s="26">
        <f t="shared" si="6"/>
        <v>45069</v>
      </c>
      <c r="I182" s="4">
        <f t="shared" si="7"/>
        <v>0</v>
      </c>
      <c r="J182" s="27">
        <f>RDG!I62</f>
        <v>3778</v>
      </c>
      <c r="K182" s="27">
        <f>RDG!J62</f>
        <v>10561</v>
      </c>
    </row>
    <row r="183" spans="4:11" ht="12.75">
      <c r="D183" s="4" t="s">
        <v>794</v>
      </c>
      <c r="E183" s="4">
        <v>2</v>
      </c>
      <c r="F183" s="4">
        <f>RDG!G63</f>
        <v>182</v>
      </c>
      <c r="G183" s="4" t="str">
        <f>IF(RDG!H63=0,"",RDG!H63)</f>
        <v>14</v>
      </c>
      <c r="H183" s="26">
        <f t="shared" si="6"/>
        <v>45318</v>
      </c>
      <c r="I183" s="4">
        <f t="shared" si="7"/>
        <v>0</v>
      </c>
      <c r="J183" s="27">
        <f>RDG!I63</f>
        <v>3778</v>
      </c>
      <c r="K183" s="27">
        <f>RDG!J63</f>
        <v>10561</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15</v>
      </c>
      <c r="H185" s="26">
        <f t="shared" si="6"/>
        <v>4581.6</v>
      </c>
      <c r="I185" s="4">
        <f t="shared" si="7"/>
        <v>0</v>
      </c>
      <c r="J185" s="27">
        <f>RDG!I65</f>
        <v>378</v>
      </c>
      <c r="K185" s="27">
        <f>RDG!J65</f>
        <v>1056</v>
      </c>
    </row>
    <row r="186" spans="4:11" ht="12.75">
      <c r="D186" s="4" t="s">
        <v>794</v>
      </c>
      <c r="E186" s="4">
        <v>2</v>
      </c>
      <c r="F186" s="4">
        <f>RDG!G66</f>
        <v>185</v>
      </c>
      <c r="G186" s="4" t="str">
        <f>IF(RDG!H66=0,"",RDG!H66)</f>
        <v>15</v>
      </c>
      <c r="H186" s="26">
        <f t="shared" si="6"/>
        <v>41458.5</v>
      </c>
      <c r="I186" s="4">
        <f t="shared" si="7"/>
        <v>0</v>
      </c>
      <c r="J186" s="27">
        <f>RDG!I66</f>
        <v>3400</v>
      </c>
      <c r="K186" s="27">
        <f>RDG!J66</f>
        <v>9505</v>
      </c>
    </row>
    <row r="187" spans="4:11" ht="12.75">
      <c r="D187" s="4" t="s">
        <v>794</v>
      </c>
      <c r="E187" s="4">
        <v>2</v>
      </c>
      <c r="F187" s="4">
        <f>RDG!G67</f>
        <v>186</v>
      </c>
      <c r="G187" s="4" t="str">
        <f>IF(RDG!H67=0,"",RDG!H67)</f>
        <v>15</v>
      </c>
      <c r="H187" s="26">
        <f t="shared" si="6"/>
        <v>41682.6</v>
      </c>
      <c r="I187" s="4">
        <f t="shared" si="7"/>
        <v>0</v>
      </c>
      <c r="J187" s="27">
        <f>RDG!I67</f>
        <v>3400</v>
      </c>
      <c r="K187" s="27">
        <f>RDG!J67</f>
        <v>9505</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1690720.9000000001</v>
      </c>
      <c r="I243" s="4">
        <f t="shared" si="13"/>
        <v>0</v>
      </c>
      <c r="J243" s="27">
        <f>Dodatni!I26</f>
        <v>112843</v>
      </c>
      <c r="K243" s="27">
        <f>Dodatni!J26</f>
        <v>292901</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5141072.359999999</v>
      </c>
      <c r="I252" s="4">
        <f t="shared" si="13"/>
        <v>0</v>
      </c>
      <c r="J252" s="27">
        <f>Dodatni!I35</f>
        <v>608314</v>
      </c>
      <c r="K252" s="27">
        <f>Dodatni!J35</f>
        <v>719961</v>
      </c>
    </row>
    <row r="253" spans="4:11" ht="12.75">
      <c r="D253" s="4" t="s">
        <v>555</v>
      </c>
      <c r="E253" s="4">
        <v>3</v>
      </c>
      <c r="F253" s="4">
        <f>Dodatni!H37</f>
        <v>252</v>
      </c>
      <c r="H253" s="26">
        <f t="shared" si="12"/>
        <v>5445916.5600000005</v>
      </c>
      <c r="I253" s="4">
        <f t="shared" si="13"/>
        <v>0</v>
      </c>
      <c r="J253" s="27">
        <f>Dodatni!I37</f>
        <v>721156</v>
      </c>
      <c r="K253" s="27">
        <f>Dodatni!J37</f>
        <v>719961</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491878.8</v>
      </c>
      <c r="I263" s="4">
        <f t="shared" si="13"/>
        <v>0</v>
      </c>
      <c r="J263" s="27">
        <f>Dodatni!I50</f>
        <v>43360</v>
      </c>
      <c r="K263" s="27">
        <f>Dodatni!J50</f>
        <v>72190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19665.6</v>
      </c>
      <c r="I273" s="4">
        <f t="shared" si="13"/>
        <v>0</v>
      </c>
      <c r="J273" s="27">
        <f>Dodatni!I60</f>
        <v>0</v>
      </c>
      <c r="K273" s="27">
        <f>Dodatni!J60</f>
        <v>3615</v>
      </c>
    </row>
    <row r="274" spans="4:11" ht="12.75">
      <c r="D274" s="4" t="s">
        <v>555</v>
      </c>
      <c r="E274" s="4">
        <v>3</v>
      </c>
      <c r="F274" s="4">
        <f>Dodatni!H61</f>
        <v>273</v>
      </c>
      <c r="H274" s="26">
        <f t="shared" si="12"/>
        <v>19737.899999999998</v>
      </c>
      <c r="I274" s="4">
        <f t="shared" si="13"/>
        <v>0</v>
      </c>
      <c r="J274" s="27">
        <f>Dodatni!I61</f>
        <v>0</v>
      </c>
      <c r="K274" s="27">
        <f>Dodatni!J61</f>
        <v>3615</v>
      </c>
    </row>
    <row r="275" spans="4:11" ht="12.75">
      <c r="D275" s="4" t="s">
        <v>555</v>
      </c>
      <c r="E275" s="4">
        <v>3</v>
      </c>
      <c r="F275" s="4">
        <f>Dodatni!H62</f>
        <v>274</v>
      </c>
      <c r="H275" s="26">
        <f t="shared" si="12"/>
        <v>2476.96</v>
      </c>
      <c r="I275" s="4">
        <f t="shared" si="13"/>
        <v>0</v>
      </c>
      <c r="J275" s="27">
        <f>Dodatni!I62</f>
        <v>504</v>
      </c>
      <c r="K275" s="27">
        <f>Dodatni!J62</f>
        <v>200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2.84</v>
      </c>
      <c r="I285" s="4">
        <f aca="true" t="shared" si="15" ref="I285:I294">ABS(ROUND(J285,0)-J285)+ABS(ROUND(K285,0)-K285)</f>
        <v>0</v>
      </c>
      <c r="J285" s="27">
        <f>Dodatni!I73</f>
        <v>1</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152164.8</v>
      </c>
      <c r="I289" s="4">
        <f t="shared" si="15"/>
        <v>0</v>
      </c>
      <c r="J289" s="27">
        <f>Dodatni!I78</f>
        <v>40635</v>
      </c>
      <c r="K289" s="27">
        <f>Dodatni!J78</f>
        <v>6100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153221.5</v>
      </c>
      <c r="I291" s="4">
        <f t="shared" si="15"/>
        <v>0</v>
      </c>
      <c r="J291" s="27">
        <f>Dodatni!I80</f>
        <v>40635</v>
      </c>
      <c r="K291" s="27">
        <f>Dodatni!J80</f>
        <v>6100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155334.90000000002</v>
      </c>
      <c r="I295" s="4">
        <f aca="true" t="shared" si="17" ref="I295:I301">ABS(ROUND(J295,0)-J295)+ABS(ROUND(K295,0)-K295)</f>
        <v>0</v>
      </c>
      <c r="J295" s="27">
        <f>Dodatni!I84</f>
        <v>40635</v>
      </c>
      <c r="K295" s="27">
        <f>Dodatni!J84</f>
        <v>6100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tabSelected="1" zoomScalePageLayoutView="0" workbookViewId="0" topLeftCell="A2">
      <pane ySplit="9" topLeftCell="A71" activePane="bottomLeft" state="frozen"/>
      <selection pane="topLeft" activeCell="A2" sqref="A2"/>
      <selection pane="bottomLeft" activeCell="C76" sqref="C76:J76"/>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SIKIREVČANKA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35224</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70934004059</v>
      </c>
      <c r="V4" s="206" t="s">
        <v>2737</v>
      </c>
      <c r="W4" s="224" t="str">
        <f>RefStr!F31</f>
        <v>SIKIREVCI</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05206936</v>
      </c>
      <c r="V5" s="206" t="s">
        <v>2738</v>
      </c>
      <c r="W5" s="224" t="str">
        <f>RefStr!C33</f>
        <v>LJUDEVITA GAJA 4/A</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030228137</v>
      </c>
      <c r="V6" s="206" t="s">
        <v>2968</v>
      </c>
      <c r="W6" s="224" t="str">
        <f>RefStr!L35</f>
        <v>035/481-215</v>
      </c>
      <c r="X6" s="206" t="s">
        <v>2926</v>
      </c>
      <c r="Y6" s="224" t="str">
        <f>RefStr!C68</f>
        <v>Ana Knežević</v>
      </c>
      <c r="Z6" s="206" t="s">
        <v>2952</v>
      </c>
      <c r="AA6" s="224">
        <f>RefStr!C46</f>
        <v>0</v>
      </c>
    </row>
    <row r="7" spans="1:27" ht="13.5" customHeight="1">
      <c r="A7" s="504"/>
      <c r="B7" s="505"/>
      <c r="C7" s="505"/>
      <c r="D7" s="505"/>
      <c r="E7" s="505"/>
      <c r="F7" s="505"/>
      <c r="G7" s="505"/>
      <c r="H7" s="505"/>
      <c r="I7" s="214" t="s">
        <v>211</v>
      </c>
      <c r="J7" s="216">
        <f>SUM(M12:M122)</f>
        <v>3</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SIKIREVCANKA1@GMAIL.COM</v>
      </c>
      <c r="X7" s="206" t="s">
        <v>2927</v>
      </c>
      <c r="Y7" s="224" t="str">
        <f>RefStr!C70</f>
        <v>0915567534</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8130</v>
      </c>
      <c r="X8" s="206" t="s">
        <v>2928</v>
      </c>
      <c r="Y8" s="224" t="str">
        <f>TRIM(UPPER(RefStr!C72))</f>
        <v>ANA.NIKOLIC3107@GMAIL.COM</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4</v>
      </c>
      <c r="Q9" s="223">
        <f>RefStr!F58</f>
        <v>9</v>
      </c>
      <c r="R9" s="206" t="s">
        <v>914</v>
      </c>
      <c r="S9" s="224">
        <f>IF(RefStr!F4&lt;&gt;"",RefStr!F4,0)</f>
        <v>44926</v>
      </c>
      <c r="T9" s="206" t="s">
        <v>891</v>
      </c>
      <c r="U9" s="224">
        <f>RefStr!C39</f>
        <v>570</v>
      </c>
      <c r="V9" s="206" t="s">
        <v>2951</v>
      </c>
      <c r="W9" s="224" t="str">
        <f>RefStr!D42</f>
        <v>Uslužne djelatnosti uređenja i održava...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6</v>
      </c>
      <c r="Q10" s="225">
        <f>RefStr!F56</f>
        <v>9</v>
      </c>
      <c r="R10" s="208" t="s">
        <v>917</v>
      </c>
      <c r="S10" s="225">
        <f>RefStr!C23</f>
        <v>1</v>
      </c>
      <c r="T10" s="208" t="s">
        <v>2973</v>
      </c>
      <c r="U10" s="225" t="str">
        <f>RefStr!D39</f>
        <v>Sikirevci</v>
      </c>
      <c r="V10" s="232"/>
      <c r="W10" s="233"/>
      <c r="X10" s="234" t="s">
        <v>2279</v>
      </c>
      <c r="Y10" s="235">
        <f>RefStr!F12</f>
        <v>2022</v>
      </c>
      <c r="Z10" s="208" t="s">
        <v>1771</v>
      </c>
      <c r="AA10" s="225" t="str">
        <f>RefStr!A75</f>
        <v>Knežević Ana</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Provjera</v>
      </c>
      <c r="C96" s="491" t="s">
        <v>596</v>
      </c>
      <c r="D96" s="491"/>
      <c r="E96" s="491"/>
      <c r="F96" s="491"/>
      <c r="G96" s="491"/>
      <c r="H96" s="491"/>
      <c r="I96" s="491"/>
      <c r="J96" s="491"/>
      <c r="L96" s="190">
        <v>0</v>
      </c>
      <c r="M96" s="190">
        <f aca="true" t="shared" si="16" ref="M96:M105">MAX(N96:W96)</f>
        <v>1</v>
      </c>
      <c r="N96" s="190">
        <f>IF(AND(P9=0,Q9&gt;2,P8&gt;0),1,0)</f>
        <v>0</v>
      </c>
      <c r="O96" s="190">
        <f>IF(AND(P10=0,Q10&gt;2,P8&gt;0),1,0)</f>
        <v>0</v>
      </c>
      <c r="P96" s="190">
        <f>IF(AND(P9&gt;2,Q9=0,P8&gt;0),1,0)</f>
        <v>0</v>
      </c>
      <c r="Q96" s="193">
        <f>IF(AND(P10&gt;2,Q10=0,P8&gt;0),1,0)</f>
        <v>0</v>
      </c>
      <c r="R96" s="193">
        <f>IF(AND(P9+Q9&gt;10,OR(P9&lt;0.39*(P9+Q9),Q9&lt;0.39*(P9+Q9))),1,0)</f>
        <v>1</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C:\Users\mirjana\Documents\SIKIREVČANKA\završni 2022\[GFI-POD, Godišnji financijski izvještaj poduzetnika (1).xls]RDG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C59" sqref="C5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520693.6</v>
      </c>
    </row>
    <row r="13" spans="4:17" ht="9.75" customHeight="1">
      <c r="D13" s="152"/>
      <c r="E13" s="158"/>
      <c r="H13" s="23"/>
      <c r="I13" s="159"/>
      <c r="J13" s="159"/>
      <c r="K13" s="152"/>
      <c r="L13" s="152"/>
      <c r="M13" s="152"/>
      <c r="N13" s="152"/>
      <c r="P13" s="50" t="s">
        <v>1561</v>
      </c>
      <c r="Q13" s="51">
        <f>INT(VALUE(M27))/50</f>
        <v>604562.74</v>
      </c>
    </row>
    <row r="14" spans="1:17" ht="15">
      <c r="A14" s="289" t="s">
        <v>1312</v>
      </c>
      <c r="B14" s="289"/>
      <c r="C14" s="289"/>
      <c r="D14" s="160"/>
      <c r="E14" s="161"/>
      <c r="F14" s="287"/>
      <c r="G14" s="288"/>
      <c r="H14" s="288"/>
      <c r="I14" s="152"/>
      <c r="J14" s="310" t="s">
        <v>1978</v>
      </c>
      <c r="K14" s="311"/>
      <c r="L14" s="311"/>
      <c r="M14" s="311"/>
      <c r="N14" s="311"/>
      <c r="P14" s="50" t="s">
        <v>1316</v>
      </c>
      <c r="Q14" s="51">
        <f>INT(VALUE(C27))/100</f>
        <v>709340040.59</v>
      </c>
    </row>
    <row r="15" spans="1:17" ht="19.5" customHeight="1">
      <c r="A15" s="307">
        <f>Skriveni!B59</f>
        <v>755451300.95</v>
      </c>
      <c r="B15" s="308"/>
      <c r="C15" s="309"/>
      <c r="D15" s="56"/>
      <c r="E15" s="56"/>
      <c r="F15" s="56"/>
      <c r="G15" s="56"/>
      <c r="H15" s="56"/>
      <c r="I15" s="56"/>
      <c r="J15" s="56"/>
      <c r="K15" s="56"/>
      <c r="L15" s="56"/>
      <c r="M15" s="56"/>
      <c r="N15" s="56"/>
      <c r="P15" s="50" t="s">
        <v>887</v>
      </c>
      <c r="Q15" s="51">
        <f>LEN(Skriveni!B9)</f>
        <v>19</v>
      </c>
    </row>
    <row r="16" spans="4:17" ht="12.75" customHeight="1">
      <c r="D16" s="56"/>
      <c r="E16" s="56"/>
      <c r="F16" s="56"/>
      <c r="G16" s="56"/>
      <c r="H16" s="56"/>
      <c r="I16" s="56"/>
      <c r="P16" s="50" t="s">
        <v>888</v>
      </c>
      <c r="Q16" s="51">
        <f>INT(VALUE(C31))/100</f>
        <v>352.24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9</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2982</v>
      </c>
      <c r="P19" s="50" t="s">
        <v>890</v>
      </c>
      <c r="Q19" s="51">
        <f>LEN(Skriveni!B12)</f>
        <v>18</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570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8130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35224</v>
      </c>
      <c r="D31" s="343" t="s">
        <v>929</v>
      </c>
      <c r="E31" s="344"/>
      <c r="F31" s="345" t="s">
        <v>2987</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570</v>
      </c>
      <c r="D39" s="358" t="str">
        <f>IF(C39="","Upišite šifru grada/općine",IF(ISNA(LOOKUP(C39,A177:A732,A177:A732)),"Šifra grada/općine ne postoji",IF(LOOKUP(C39,A177:A732,A177:A732)&lt;&gt;C39,"Šifra grada/općine ne postoji",LOOKUP(C39,A177:A732,B177:B732))))</f>
        <v>Sikirevci</v>
      </c>
      <c r="E39" s="359"/>
      <c r="F39" s="359"/>
      <c r="G39" s="359"/>
      <c r="H39" s="279" t="s">
        <v>2109</v>
      </c>
      <c r="I39" s="280"/>
      <c r="J39" s="54">
        <f>IF(C39&gt;0,LOOKUP(C39,A177:A732,C177:C732),"")</f>
        <v>12</v>
      </c>
      <c r="K39" s="350" t="str">
        <f>IF(J39="","Upišite šifru grada/općine",LOOKUP(J39,A153:A173,B153:B173))</f>
        <v>BRODSKO-POSAVSKA</v>
      </c>
      <c r="L39" s="350"/>
      <c r="M39" s="350"/>
      <c r="N39" s="350"/>
      <c r="P39" s="50" t="s">
        <v>896</v>
      </c>
      <c r="Q39" s="51">
        <f>C56+2*F56+3*C58+4*F58</f>
        <v>72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1695</v>
      </c>
      <c r="D42" s="356" t="str">
        <f>IF(C42="","Upišite šifru razreda glavne djelatnosti",IF(ISNA(LOOKUP(C42,A736:A1351,A736:A1351)),"Šifra NKD-a ne postoji",IF(LOOKUP(C42,A736:A1351,A736:A1351)&lt;&gt;C42,"Šifra NKD-a ne postoji",LOOKUP(C42,A736:A1351,B736:B1351))))</f>
        <v>Uslužne djelatnosti uređenja i održava...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6</v>
      </c>
      <c r="D56" s="272" t="s">
        <v>2653</v>
      </c>
      <c r="E56" s="362"/>
      <c r="F56" s="40">
        <v>9</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4</v>
      </c>
      <c r="D58" s="354" t="s">
        <v>2653</v>
      </c>
      <c r="E58" s="354"/>
      <c r="F58" s="40">
        <v>9</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2" activePane="bottomLeft" state="frozen"/>
      <selection pane="topLeft" activeCell="A1" sqref="A1"/>
      <selection pane="bottomLeft" activeCell="H135" sqref="H13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70934004059; SIKIREVČANKA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t="s">
        <v>2995</v>
      </c>
      <c r="I10" s="66">
        <f>I11+I18+I28+I39+I44</f>
        <v>98479</v>
      </c>
      <c r="J10" s="66">
        <f>J11+J18+J28+J39+J44</f>
        <v>98475</v>
      </c>
    </row>
    <row r="11" spans="1:10" ht="13.5" customHeight="1">
      <c r="A11" s="390" t="s">
        <v>904</v>
      </c>
      <c r="B11" s="390"/>
      <c r="C11" s="390"/>
      <c r="D11" s="390"/>
      <c r="E11" s="390"/>
      <c r="F11" s="390"/>
      <c r="G11" s="15">
        <v>3</v>
      </c>
      <c r="H11" s="16" t="s">
        <v>2995</v>
      </c>
      <c r="I11" s="66">
        <f>SUM(I12:I17)</f>
        <v>2167</v>
      </c>
      <c r="J11" s="66">
        <f>SUM(J12:J17)</f>
        <v>1167</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t="s">
        <v>2995</v>
      </c>
      <c r="I13" s="67">
        <v>2167</v>
      </c>
      <c r="J13" s="67">
        <v>1167</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t="s">
        <v>2995</v>
      </c>
      <c r="I18" s="66">
        <f>SUM(I19:I27)</f>
        <v>43262</v>
      </c>
      <c r="J18" s="66">
        <f>SUM(J19:J27)</f>
        <v>35055</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c r="J21" s="67"/>
    </row>
    <row r="22" spans="1:10" ht="13.5" customHeight="1">
      <c r="A22" s="387" t="s">
        <v>405</v>
      </c>
      <c r="B22" s="387"/>
      <c r="C22" s="387"/>
      <c r="D22" s="387"/>
      <c r="E22" s="387"/>
      <c r="F22" s="387"/>
      <c r="G22" s="15">
        <v>14</v>
      </c>
      <c r="H22" s="16" t="s">
        <v>2995</v>
      </c>
      <c r="I22" s="67">
        <v>43262</v>
      </c>
      <c r="J22" s="67">
        <v>35055</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t="s">
        <v>2996</v>
      </c>
      <c r="I39" s="66">
        <f>SUM(I40:I43)</f>
        <v>53050</v>
      </c>
      <c r="J39" s="66">
        <f>SUM(J40:J43)</f>
        <v>62253</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t="s">
        <v>2996</v>
      </c>
      <c r="I41" s="67">
        <v>51900</v>
      </c>
      <c r="J41" s="67">
        <v>57625</v>
      </c>
    </row>
    <row r="42" spans="1:10" ht="13.5" customHeight="1">
      <c r="A42" s="387" t="s">
        <v>1886</v>
      </c>
      <c r="B42" s="387"/>
      <c r="C42" s="387"/>
      <c r="D42" s="387"/>
      <c r="E42" s="387"/>
      <c r="F42" s="387"/>
      <c r="G42" s="15">
        <v>34</v>
      </c>
      <c r="H42" s="16" t="s">
        <v>2996</v>
      </c>
      <c r="I42" s="67">
        <v>1150</v>
      </c>
      <c r="J42" s="67">
        <v>4628</v>
      </c>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t="s">
        <v>2997</v>
      </c>
      <c r="I45" s="66">
        <f>I46+I54+I61+I71</f>
        <v>84817</v>
      </c>
      <c r="J45" s="66">
        <f>J46+J54+J61+J71</f>
        <v>106731</v>
      </c>
    </row>
    <row r="46" spans="1:10" ht="13.5" customHeight="1">
      <c r="A46" s="390" t="s">
        <v>1264</v>
      </c>
      <c r="B46" s="390"/>
      <c r="C46" s="390"/>
      <c r="D46" s="390"/>
      <c r="E46" s="390"/>
      <c r="F46" s="390"/>
      <c r="G46" s="15">
        <v>38</v>
      </c>
      <c r="H46" s="16" t="s">
        <v>2997</v>
      </c>
      <c r="I46" s="66">
        <f>SUM(I47:I53)</f>
        <v>19864</v>
      </c>
      <c r="J46" s="66">
        <f>SUM(J47:J53)</f>
        <v>22219</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t="s">
        <v>2997</v>
      </c>
      <c r="I48" s="67">
        <v>8755</v>
      </c>
      <c r="J48" s="67">
        <v>3652</v>
      </c>
    </row>
    <row r="49" spans="1:10" ht="13.5" customHeight="1">
      <c r="A49" s="387" t="s">
        <v>1894</v>
      </c>
      <c r="B49" s="387"/>
      <c r="C49" s="387"/>
      <c r="D49" s="387"/>
      <c r="E49" s="387"/>
      <c r="F49" s="387"/>
      <c r="G49" s="15">
        <v>41</v>
      </c>
      <c r="H49" s="16" t="s">
        <v>2997</v>
      </c>
      <c r="I49" s="67">
        <v>3641</v>
      </c>
      <c r="J49" s="67">
        <v>8168</v>
      </c>
    </row>
    <row r="50" spans="1:10" ht="13.5" customHeight="1">
      <c r="A50" s="387" t="s">
        <v>1895</v>
      </c>
      <c r="B50" s="387"/>
      <c r="C50" s="387"/>
      <c r="D50" s="387"/>
      <c r="E50" s="387"/>
      <c r="F50" s="387"/>
      <c r="G50" s="15">
        <v>42</v>
      </c>
      <c r="H50" s="16" t="s">
        <v>2997</v>
      </c>
      <c r="I50" s="67">
        <v>7468</v>
      </c>
      <c r="J50" s="67">
        <v>10399</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705</v>
      </c>
      <c r="J54" s="66">
        <f>SUM(J55:J60)</f>
        <v>0</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c r="J57" s="67"/>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705</v>
      </c>
      <c r="J59" s="67"/>
    </row>
    <row r="60" spans="1:10" ht="13.5" customHeight="1">
      <c r="A60" s="387" t="s">
        <v>1255</v>
      </c>
      <c r="B60" s="387"/>
      <c r="C60" s="387"/>
      <c r="D60" s="387"/>
      <c r="E60" s="387"/>
      <c r="F60" s="387"/>
      <c r="G60" s="15">
        <v>52</v>
      </c>
      <c r="H60" s="16"/>
      <c r="I60" s="67"/>
      <c r="J60" s="67"/>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2998</v>
      </c>
      <c r="I71" s="67">
        <v>64248</v>
      </c>
      <c r="J71" s="67">
        <v>84512</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183296</v>
      </c>
      <c r="J73" s="66">
        <f>J9+J10+J45+J72</f>
        <v>205206</v>
      </c>
    </row>
    <row r="74" spans="1:10" ht="13.5" customHeight="1">
      <c r="A74" s="386" t="s">
        <v>1004</v>
      </c>
      <c r="B74" s="386"/>
      <c r="C74" s="386"/>
      <c r="D74" s="386"/>
      <c r="E74" s="386"/>
      <c r="F74" s="386"/>
      <c r="G74" s="17">
        <v>66</v>
      </c>
      <c r="H74" s="18" t="s">
        <v>3000</v>
      </c>
      <c r="I74" s="68"/>
      <c r="J74" s="68">
        <v>4348</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t="s">
        <v>2999</v>
      </c>
      <c r="I76" s="66">
        <f>I77+I78+I79+I85+I86+I92+I95+I98</f>
        <v>108547</v>
      </c>
      <c r="J76" s="66">
        <f>J77+J78+J79+J85+J86+J92+J95+J98</f>
        <v>118052</v>
      </c>
      <c r="L76" s="2" t="s">
        <v>1209</v>
      </c>
    </row>
    <row r="77" spans="1:10" ht="13.5" customHeight="1">
      <c r="A77" s="390" t="s">
        <v>1857</v>
      </c>
      <c r="B77" s="390"/>
      <c r="C77" s="390"/>
      <c r="D77" s="390"/>
      <c r="E77" s="390"/>
      <c r="F77" s="390"/>
      <c r="G77" s="15">
        <v>68</v>
      </c>
      <c r="H77" s="16" t="s">
        <v>3001</v>
      </c>
      <c r="I77" s="67">
        <v>100000</v>
      </c>
      <c r="J77" s="67">
        <v>100000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t="s">
        <v>2999</v>
      </c>
      <c r="I92" s="66">
        <f>I93-I94</f>
        <v>5146</v>
      </c>
      <c r="J92" s="66">
        <f>J93-J94</f>
        <v>8547</v>
      </c>
      <c r="L92" s="2" t="s">
        <v>1209</v>
      </c>
    </row>
    <row r="93" spans="1:10" ht="13.5" customHeight="1">
      <c r="A93" s="387" t="s">
        <v>2830</v>
      </c>
      <c r="B93" s="387"/>
      <c r="C93" s="387"/>
      <c r="D93" s="387"/>
      <c r="E93" s="387"/>
      <c r="F93" s="387"/>
      <c r="G93" s="15">
        <v>84</v>
      </c>
      <c r="H93" s="16" t="s">
        <v>2999</v>
      </c>
      <c r="I93" s="67">
        <v>5146</v>
      </c>
      <c r="J93" s="67">
        <v>8547</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t="s">
        <v>2999</v>
      </c>
      <c r="I95" s="66">
        <f>I96-I97</f>
        <v>3401</v>
      </c>
      <c r="J95" s="66">
        <f>J96-J97</f>
        <v>9505</v>
      </c>
      <c r="L95" s="2" t="s">
        <v>1209</v>
      </c>
    </row>
    <row r="96" spans="1:10" ht="13.5" customHeight="1">
      <c r="A96" s="387" t="s">
        <v>1257</v>
      </c>
      <c r="B96" s="387"/>
      <c r="C96" s="387"/>
      <c r="D96" s="387"/>
      <c r="E96" s="387"/>
      <c r="F96" s="387"/>
      <c r="G96" s="15">
        <v>87</v>
      </c>
      <c r="H96" s="16" t="s">
        <v>3002</v>
      </c>
      <c r="I96" s="67">
        <v>3401</v>
      </c>
      <c r="J96" s="67">
        <v>9505</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t="s">
        <v>3003</v>
      </c>
      <c r="I118" s="66">
        <f>SUM(I119:I132)</f>
        <v>74749</v>
      </c>
      <c r="J118" s="66">
        <f>SUM(J119:J132)</f>
        <v>85840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t="s">
        <v>3004</v>
      </c>
      <c r="I126" s="67">
        <v>12766</v>
      </c>
      <c r="J126" s="67">
        <v>29279</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3004</v>
      </c>
      <c r="I128" s="67">
        <v>34831</v>
      </c>
      <c r="J128" s="67">
        <v>27878</v>
      </c>
    </row>
    <row r="129" spans="1:10" ht="13.5" customHeight="1">
      <c r="A129" s="387" t="s">
        <v>2023</v>
      </c>
      <c r="B129" s="387"/>
      <c r="C129" s="387"/>
      <c r="D129" s="387"/>
      <c r="E129" s="387"/>
      <c r="F129" s="387"/>
      <c r="G129" s="15">
        <v>120</v>
      </c>
      <c r="H129" s="16" t="s">
        <v>3004</v>
      </c>
      <c r="I129" s="67">
        <v>26020</v>
      </c>
      <c r="J129" s="67">
        <v>27598</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t="s">
        <v>3003</v>
      </c>
      <c r="I132" s="67">
        <v>1132</v>
      </c>
      <c r="J132" s="67">
        <v>1085</v>
      </c>
    </row>
    <row r="133" spans="1:10" ht="24.75" customHeight="1">
      <c r="A133" s="385" t="s">
        <v>593</v>
      </c>
      <c r="B133" s="385"/>
      <c r="C133" s="385"/>
      <c r="D133" s="385"/>
      <c r="E133" s="385"/>
      <c r="F133" s="385"/>
      <c r="G133" s="15">
        <v>124</v>
      </c>
      <c r="H133" s="16" t="s">
        <v>3005</v>
      </c>
      <c r="I133" s="67"/>
      <c r="J133" s="67">
        <v>1314</v>
      </c>
    </row>
    <row r="134" spans="1:10" ht="13.5" customHeight="1">
      <c r="A134" s="385" t="s">
        <v>360</v>
      </c>
      <c r="B134" s="385"/>
      <c r="C134" s="385"/>
      <c r="D134" s="385"/>
      <c r="E134" s="385"/>
      <c r="F134" s="385"/>
      <c r="G134" s="15">
        <v>125</v>
      </c>
      <c r="H134" s="16"/>
      <c r="I134" s="66">
        <f>I76+I99+I106+I118+I133</f>
        <v>183296</v>
      </c>
      <c r="J134" s="66">
        <f>J76+J99+J106+J118+J133</f>
        <v>205206</v>
      </c>
    </row>
    <row r="135" spans="1:10" ht="13.5" customHeight="1">
      <c r="A135" s="386" t="s">
        <v>1512</v>
      </c>
      <c r="B135" s="386"/>
      <c r="C135" s="386"/>
      <c r="D135" s="386"/>
      <c r="E135" s="386"/>
      <c r="F135" s="386"/>
      <c r="G135" s="17">
        <v>126</v>
      </c>
      <c r="H135" s="18" t="s">
        <v>3006</v>
      </c>
      <c r="I135" s="68"/>
      <c r="J135" s="68">
        <v>4348</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9" activePane="bottomLeft" state="frozen"/>
      <selection pane="topLeft" activeCell="A1" sqref="A1"/>
      <selection pane="bottomLeft" activeCell="H68" sqref="H6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70934004059; SIKIREVČANKA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t="s">
        <v>3007</v>
      </c>
      <c r="I8" s="80">
        <f>SUM(I9:I13)</f>
        <v>827020</v>
      </c>
      <c r="J8" s="80">
        <f>SUM(J9:J13)</f>
        <v>1012862</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t="s">
        <v>3008</v>
      </c>
      <c r="I10" s="67">
        <v>721156</v>
      </c>
      <c r="J10" s="67">
        <v>719961</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t="s">
        <v>3008</v>
      </c>
      <c r="I13" s="67">
        <v>105864</v>
      </c>
      <c r="J13" s="67">
        <v>292901</v>
      </c>
    </row>
    <row r="14" spans="1:10" s="2" customFormat="1" ht="14.25" customHeight="1">
      <c r="A14" s="385" t="s">
        <v>2492</v>
      </c>
      <c r="B14" s="385"/>
      <c r="C14" s="385"/>
      <c r="D14" s="385"/>
      <c r="E14" s="385"/>
      <c r="F14" s="385"/>
      <c r="G14" s="15">
        <v>133</v>
      </c>
      <c r="H14" s="16" t="s">
        <v>3009</v>
      </c>
      <c r="I14" s="66">
        <f>I15+I16+I20+I24+I25+I26+I29+I36</f>
        <v>820171</v>
      </c>
      <c r="J14" s="66">
        <f>J15+J16+J20+J24+J25+J26+J29+J36</f>
        <v>998115</v>
      </c>
    </row>
    <row r="15" spans="1:12" s="2" customFormat="1" ht="14.25" customHeight="1">
      <c r="A15" s="387" t="s">
        <v>1005</v>
      </c>
      <c r="B15" s="387"/>
      <c r="C15" s="387"/>
      <c r="D15" s="387"/>
      <c r="E15" s="387"/>
      <c r="F15" s="387"/>
      <c r="G15" s="15">
        <v>134</v>
      </c>
      <c r="H15" s="16" t="s">
        <v>3010</v>
      </c>
      <c r="I15" s="67">
        <v>-12396</v>
      </c>
      <c r="J15" s="67">
        <v>576</v>
      </c>
      <c r="L15" s="2" t="s">
        <v>1209</v>
      </c>
    </row>
    <row r="16" spans="1:10" s="2" customFormat="1" ht="14.25" customHeight="1">
      <c r="A16" s="387" t="s">
        <v>2493</v>
      </c>
      <c r="B16" s="387"/>
      <c r="C16" s="387"/>
      <c r="D16" s="387"/>
      <c r="E16" s="387"/>
      <c r="F16" s="387"/>
      <c r="G16" s="15">
        <v>135</v>
      </c>
      <c r="H16" s="16" t="s">
        <v>3010</v>
      </c>
      <c r="I16" s="66">
        <f>SUM(I17:I19)</f>
        <v>209994</v>
      </c>
      <c r="J16" s="66">
        <f>SUM(J17:J19)</f>
        <v>375062</v>
      </c>
    </row>
    <row r="17" spans="1:10" s="2" customFormat="1" ht="14.25" customHeight="1">
      <c r="A17" s="413" t="s">
        <v>1273</v>
      </c>
      <c r="B17" s="413"/>
      <c r="C17" s="413"/>
      <c r="D17" s="413"/>
      <c r="E17" s="413"/>
      <c r="F17" s="413"/>
      <c r="G17" s="15">
        <v>136</v>
      </c>
      <c r="H17" s="16" t="s">
        <v>3010</v>
      </c>
      <c r="I17" s="67">
        <v>118892</v>
      </c>
      <c r="J17" s="67">
        <v>140773</v>
      </c>
    </row>
    <row r="18" spans="1:10" s="2" customFormat="1" ht="14.25" customHeight="1">
      <c r="A18" s="413" t="s">
        <v>1274</v>
      </c>
      <c r="B18" s="413"/>
      <c r="C18" s="413"/>
      <c r="D18" s="413"/>
      <c r="E18" s="413"/>
      <c r="F18" s="413"/>
      <c r="G18" s="15">
        <v>137</v>
      </c>
      <c r="H18" s="16" t="s">
        <v>3011</v>
      </c>
      <c r="I18" s="67">
        <v>68032</v>
      </c>
      <c r="J18" s="67">
        <v>200723</v>
      </c>
    </row>
    <row r="19" spans="1:10" s="2" customFormat="1" ht="14.25" customHeight="1">
      <c r="A19" s="413" t="s">
        <v>2959</v>
      </c>
      <c r="B19" s="413"/>
      <c r="C19" s="413"/>
      <c r="D19" s="413"/>
      <c r="E19" s="413"/>
      <c r="F19" s="413"/>
      <c r="G19" s="15">
        <v>138</v>
      </c>
      <c r="H19" s="16" t="s">
        <v>3012</v>
      </c>
      <c r="I19" s="67">
        <v>23070</v>
      </c>
      <c r="J19" s="67">
        <v>33566</v>
      </c>
    </row>
    <row r="20" spans="1:10" s="2" customFormat="1" ht="14.25" customHeight="1">
      <c r="A20" s="387" t="s">
        <v>2494</v>
      </c>
      <c r="B20" s="387"/>
      <c r="C20" s="387"/>
      <c r="D20" s="387"/>
      <c r="E20" s="387"/>
      <c r="F20" s="387"/>
      <c r="G20" s="15">
        <v>139</v>
      </c>
      <c r="H20" s="16" t="s">
        <v>3009</v>
      </c>
      <c r="I20" s="66">
        <f>SUM(I21:I23)</f>
        <v>480842</v>
      </c>
      <c r="J20" s="66">
        <f>SUM(J21:J23)</f>
        <v>587908</v>
      </c>
    </row>
    <row r="21" spans="1:10" s="2" customFormat="1" ht="14.25" customHeight="1">
      <c r="A21" s="413" t="s">
        <v>960</v>
      </c>
      <c r="B21" s="413"/>
      <c r="C21" s="413"/>
      <c r="D21" s="413"/>
      <c r="E21" s="413"/>
      <c r="F21" s="413"/>
      <c r="G21" s="15">
        <v>140</v>
      </c>
      <c r="H21" s="16" t="s">
        <v>3009</v>
      </c>
      <c r="I21" s="67">
        <v>332297</v>
      </c>
      <c r="J21" s="67">
        <v>412345</v>
      </c>
    </row>
    <row r="22" spans="1:10" s="2" customFormat="1" ht="14.25" customHeight="1">
      <c r="A22" s="413" t="s">
        <v>1883</v>
      </c>
      <c r="B22" s="413"/>
      <c r="C22" s="413"/>
      <c r="D22" s="413"/>
      <c r="E22" s="413"/>
      <c r="F22" s="413"/>
      <c r="G22" s="15">
        <v>141</v>
      </c>
      <c r="H22" s="16" t="s">
        <v>3009</v>
      </c>
      <c r="I22" s="67">
        <v>88391</v>
      </c>
      <c r="J22" s="67">
        <v>108463</v>
      </c>
    </row>
    <row r="23" spans="1:10" s="2" customFormat="1" ht="14.25" customHeight="1">
      <c r="A23" s="413" t="s">
        <v>1884</v>
      </c>
      <c r="B23" s="413"/>
      <c r="C23" s="413"/>
      <c r="D23" s="413"/>
      <c r="E23" s="413"/>
      <c r="F23" s="413"/>
      <c r="G23" s="15">
        <v>142</v>
      </c>
      <c r="H23" s="16" t="s">
        <v>3009</v>
      </c>
      <c r="I23" s="67">
        <v>60154</v>
      </c>
      <c r="J23" s="67">
        <v>67100</v>
      </c>
    </row>
    <row r="24" spans="1:10" s="2" customFormat="1" ht="14.25" customHeight="1">
      <c r="A24" s="387" t="s">
        <v>1006</v>
      </c>
      <c r="B24" s="387"/>
      <c r="C24" s="387"/>
      <c r="D24" s="387"/>
      <c r="E24" s="387"/>
      <c r="F24" s="387"/>
      <c r="G24" s="15">
        <v>143</v>
      </c>
      <c r="H24" s="16" t="s">
        <v>3009</v>
      </c>
      <c r="I24" s="67">
        <v>9895</v>
      </c>
      <c r="J24" s="67">
        <v>15307</v>
      </c>
    </row>
    <row r="25" spans="1:10" s="2" customFormat="1" ht="14.25" customHeight="1">
      <c r="A25" s="387" t="s">
        <v>1007</v>
      </c>
      <c r="B25" s="387"/>
      <c r="C25" s="387"/>
      <c r="D25" s="387"/>
      <c r="E25" s="387"/>
      <c r="F25" s="387"/>
      <c r="G25" s="15">
        <v>144</v>
      </c>
      <c r="H25" s="16" t="s">
        <v>3013</v>
      </c>
      <c r="I25" s="67">
        <v>25972</v>
      </c>
      <c r="J25" s="67">
        <v>16065</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t="s">
        <v>3009</v>
      </c>
      <c r="I36" s="67">
        <v>105864</v>
      </c>
      <c r="J36" s="67">
        <v>3197</v>
      </c>
    </row>
    <row r="37" spans="1:10" s="2" customFormat="1" ht="14.25" customHeight="1">
      <c r="A37" s="385" t="s">
        <v>2497</v>
      </c>
      <c r="B37" s="385"/>
      <c r="C37" s="385"/>
      <c r="D37" s="385"/>
      <c r="E37" s="385"/>
      <c r="F37" s="385"/>
      <c r="G37" s="15">
        <v>156</v>
      </c>
      <c r="H37" s="16" t="s">
        <v>3014</v>
      </c>
      <c r="I37" s="66">
        <f>SUM(I38:I47)</f>
        <v>73</v>
      </c>
      <c r="J37" s="66">
        <f>SUM(J38:J47)</f>
        <v>293</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v>
      </c>
      <c r="J44" s="67"/>
    </row>
    <row r="45" spans="1:10" s="2" customFormat="1" ht="14.25" customHeight="1">
      <c r="A45" s="387" t="s">
        <v>2961</v>
      </c>
      <c r="B45" s="387"/>
      <c r="C45" s="387"/>
      <c r="D45" s="387"/>
      <c r="E45" s="387"/>
      <c r="F45" s="387"/>
      <c r="G45" s="15">
        <v>164</v>
      </c>
      <c r="H45" s="16" t="s">
        <v>3014</v>
      </c>
      <c r="I45" s="67">
        <v>72</v>
      </c>
      <c r="J45" s="67">
        <v>293</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t="s">
        <v>3015</v>
      </c>
      <c r="I48" s="66">
        <f>SUM(I49:I55)</f>
        <v>3144</v>
      </c>
      <c r="J48" s="66">
        <f>SUM(J49:J55)</f>
        <v>4479</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v>
      </c>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t="s">
        <v>3015</v>
      </c>
      <c r="I55" s="67">
        <v>3143</v>
      </c>
      <c r="J55" s="67">
        <v>4479</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827093</v>
      </c>
      <c r="J60" s="66">
        <f>J8+J37+J56+J57</f>
        <v>1013155</v>
      </c>
    </row>
    <row r="61" spans="1:10" s="2" customFormat="1" ht="14.25" customHeight="1">
      <c r="A61" s="385" t="s">
        <v>2500</v>
      </c>
      <c r="B61" s="385"/>
      <c r="C61" s="385"/>
      <c r="D61" s="385"/>
      <c r="E61" s="385"/>
      <c r="F61" s="385"/>
      <c r="G61" s="15">
        <v>180</v>
      </c>
      <c r="H61" s="16"/>
      <c r="I61" s="66">
        <f>I14+I48+I58+I59</f>
        <v>823315</v>
      </c>
      <c r="J61" s="66">
        <f>J14+J48+J58+J59</f>
        <v>1002594</v>
      </c>
    </row>
    <row r="62" spans="1:12" s="2" customFormat="1" ht="14.25" customHeight="1">
      <c r="A62" s="385" t="s">
        <v>2501</v>
      </c>
      <c r="B62" s="385"/>
      <c r="C62" s="385"/>
      <c r="D62" s="385"/>
      <c r="E62" s="385"/>
      <c r="F62" s="385"/>
      <c r="G62" s="15">
        <v>181</v>
      </c>
      <c r="H62" s="16" t="s">
        <v>3016</v>
      </c>
      <c r="I62" s="66">
        <f>I60-I61</f>
        <v>3778</v>
      </c>
      <c r="J62" s="66">
        <f>J60-J61</f>
        <v>10561</v>
      </c>
      <c r="L62" s="2" t="s">
        <v>1209</v>
      </c>
    </row>
    <row r="63" spans="1:10" s="2" customFormat="1" ht="14.25" customHeight="1">
      <c r="A63" s="408" t="s">
        <v>2502</v>
      </c>
      <c r="B63" s="408"/>
      <c r="C63" s="408"/>
      <c r="D63" s="408"/>
      <c r="E63" s="408"/>
      <c r="F63" s="408"/>
      <c r="G63" s="15">
        <v>182</v>
      </c>
      <c r="H63" s="16" t="s">
        <v>3016</v>
      </c>
      <c r="I63" s="66">
        <f>IF(I60&gt;I61,I60-I61,0)</f>
        <v>3778</v>
      </c>
      <c r="J63" s="66">
        <f>IF(J60&gt;J61,J60-J61,0)</f>
        <v>10561</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t="s">
        <v>3017</v>
      </c>
      <c r="I65" s="67">
        <v>378</v>
      </c>
      <c r="J65" s="67">
        <v>1056</v>
      </c>
      <c r="L65" s="2" t="s">
        <v>1209</v>
      </c>
    </row>
    <row r="66" spans="1:12" s="2" customFormat="1" ht="14.25" customHeight="1">
      <c r="A66" s="385" t="s">
        <v>2504</v>
      </c>
      <c r="B66" s="385"/>
      <c r="C66" s="385"/>
      <c r="D66" s="385"/>
      <c r="E66" s="385"/>
      <c r="F66" s="385"/>
      <c r="G66" s="15">
        <v>185</v>
      </c>
      <c r="H66" s="16" t="s">
        <v>3017</v>
      </c>
      <c r="I66" s="66">
        <f>I62-I65</f>
        <v>3400</v>
      </c>
      <c r="J66" s="66">
        <f>J62-J65</f>
        <v>9505</v>
      </c>
      <c r="L66" s="2" t="s">
        <v>1209</v>
      </c>
    </row>
    <row r="67" spans="1:10" s="2" customFormat="1" ht="14.25" customHeight="1">
      <c r="A67" s="408" t="s">
        <v>2505</v>
      </c>
      <c r="B67" s="408"/>
      <c r="C67" s="408"/>
      <c r="D67" s="408"/>
      <c r="E67" s="408"/>
      <c r="F67" s="408"/>
      <c r="G67" s="15">
        <v>186</v>
      </c>
      <c r="H67" s="16" t="s">
        <v>3017</v>
      </c>
      <c r="I67" s="66">
        <f>IF(I66&gt;0,I66,0)</f>
        <v>3400</v>
      </c>
      <c r="J67" s="66">
        <f>IF(J66&gt;0,J66,0)</f>
        <v>9505</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 activePane="bottomLeft" state="frozen"/>
      <selection pane="topLeft" activeCell="A1" sqref="A1"/>
      <selection pane="bottomLeft" activeCell="J26" sqref="J2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70934004059; SIKIREVČANKA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112843</v>
      </c>
      <c r="J26" s="73">
        <v>292901</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v>608314</v>
      </c>
      <c r="J35" s="74">
        <v>719961</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721156</v>
      </c>
      <c r="J37" s="90">
        <v>719961</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43360</v>
      </c>
      <c r="J50" s="73">
        <v>72190</v>
      </c>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v>3615</v>
      </c>
    </row>
    <row r="61" spans="1:10" s="2" customFormat="1" ht="13.5" customHeight="1">
      <c r="A61" s="448" t="s">
        <v>645</v>
      </c>
      <c r="B61" s="448"/>
      <c r="C61" s="448"/>
      <c r="D61" s="448"/>
      <c r="E61" s="448"/>
      <c r="F61" s="448"/>
      <c r="G61" s="449"/>
      <c r="H61" s="15">
        <v>273</v>
      </c>
      <c r="I61" s="73"/>
      <c r="J61" s="73">
        <v>3615</v>
      </c>
    </row>
    <row r="62" spans="1:10" s="2" customFormat="1" ht="13.5" customHeight="1">
      <c r="A62" s="408" t="s">
        <v>2820</v>
      </c>
      <c r="B62" s="408"/>
      <c r="C62" s="408"/>
      <c r="D62" s="408"/>
      <c r="E62" s="408"/>
      <c r="F62" s="408"/>
      <c r="G62" s="447"/>
      <c r="H62" s="15">
        <v>274</v>
      </c>
      <c r="I62" s="73">
        <v>504</v>
      </c>
      <c r="J62" s="73">
        <v>200</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1</v>
      </c>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40635</v>
      </c>
      <c r="J78" s="220">
        <f>SUM(J79:J82)</f>
        <v>6100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v>40635</v>
      </c>
      <c r="J80" s="73">
        <v>6100</v>
      </c>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v>40635</v>
      </c>
      <c r="J84" s="73">
        <v>6100</v>
      </c>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70934004059; SIKIREVČANKA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70934004059; SIKIREVČANKA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70934004059; SIKIREVČANKA D.O.O.</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mirjana</cp:lastModifiedBy>
  <cp:lastPrinted>2023-04-15T18:25:30Z</cp:lastPrinted>
  <dcterms:created xsi:type="dcterms:W3CDTF">2008-10-17T11:51:54Z</dcterms:created>
  <dcterms:modified xsi:type="dcterms:W3CDTF">2023-04-15T18:25:51Z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